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61400\61410\Technologie\TECHNOLOGIE IX\hodnoceni\_mm\_X-aaaa\"/>
    </mc:Choice>
  </mc:AlternateContent>
  <bookViews>
    <workbookView xWindow="-105" yWindow="-105" windowWidth="23250" windowHeight="12570" tabRatio="549"/>
  </bookViews>
  <sheets>
    <sheet name="kontrolni_list" sheetId="24" r:id="rId1"/>
    <sheet name="vystup_pracovního_listu-zadatel" sheetId="5" r:id="rId2"/>
    <sheet name="01" sheetId="9" r:id="rId3"/>
    <sheet name="02" sheetId="11" r:id="rId4"/>
    <sheet name="03" sheetId="12" r:id="rId5"/>
    <sheet name="04" sheetId="2" r:id="rId6"/>
    <sheet name="05" sheetId="13" r:id="rId7"/>
    <sheet name="06" sheetId="14" r:id="rId8"/>
    <sheet name="07" sheetId="16" r:id="rId9"/>
    <sheet name="08" sheetId="15" r:id="rId10"/>
    <sheet name="09" sheetId="17" r:id="rId11"/>
    <sheet name="10" sheetId="18" r:id="rId12"/>
    <sheet name="---" sheetId="7" r:id="rId13"/>
    <sheet name="Poznamky" sheetId="19" r:id="rId14"/>
    <sheet name="----" sheetId="20" r:id="rId15"/>
    <sheet name="Rozpocet_Kontrola-pro-IH" sheetId="6" state="hidden" r:id="rId16"/>
  </sheets>
  <definedNames>
    <definedName name="_xlnm.Print_Titles" localSheetId="2">'01'!$1:$9</definedName>
    <definedName name="_xlnm.Print_Titles" localSheetId="3">'02'!$1:$9</definedName>
    <definedName name="_xlnm.Print_Titles" localSheetId="4">'03'!$1:$9</definedName>
    <definedName name="_xlnm.Print_Titles" localSheetId="5">'04'!$1:$9</definedName>
    <definedName name="_xlnm.Print_Titles" localSheetId="6">'05'!$1:$9</definedName>
    <definedName name="_xlnm.Print_Titles" localSheetId="7">'06'!$1:$9</definedName>
    <definedName name="_xlnm.Print_Titles" localSheetId="8">'07'!$1:$9</definedName>
    <definedName name="_xlnm.Print_Titles" localSheetId="11">'10'!$1:$9</definedName>
    <definedName name="_xlnm.Print_Area" localSheetId="2">'01'!$G$1:$N$84</definedName>
    <definedName name="_xlnm.Print_Area" localSheetId="3">'02'!$G$1:$N$73</definedName>
    <definedName name="_xlnm.Print_Area" localSheetId="4">'03'!$G$1:$N$68</definedName>
    <definedName name="_xlnm.Print_Area" localSheetId="5">'04'!$G$1:$N$40</definedName>
    <definedName name="_xlnm.Print_Area" localSheetId="6">'05'!$G$1:$N$107</definedName>
    <definedName name="_xlnm.Print_Area" localSheetId="7">'06'!$G$1:$N$53</definedName>
    <definedName name="_xlnm.Print_Area" localSheetId="8">'07'!$G$1:$N$72</definedName>
    <definedName name="_xlnm.Print_Area" localSheetId="11">'10'!$G$1:$N$55</definedName>
    <definedName name="_xlnm.Print_Area" localSheetId="0">kontrolni_list!$A$1:$F$44</definedName>
    <definedName name="_xlnm.Print_Area" localSheetId="15">'Rozpocet_Kontrola-pro-IH'!$A$1:$G$110</definedName>
    <definedName name="_xlnm.Print_Area" localSheetId="1">'vystup_pracovního_listu-zadatel'!$A$1:$AE$24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5" i="5" l="1"/>
  <c r="X15" i="5"/>
  <c r="O14" i="5"/>
  <c r="Y14" i="5" s="1"/>
  <c r="O13" i="5"/>
  <c r="W13" i="5" s="1"/>
  <c r="O10" i="5"/>
  <c r="Y10" i="5" s="1"/>
  <c r="Y19" i="5"/>
  <c r="X19" i="5"/>
  <c r="W19" i="5"/>
  <c r="Y18" i="5"/>
  <c r="X18" i="5"/>
  <c r="W18" i="5"/>
  <c r="Y17" i="5"/>
  <c r="X17" i="5"/>
  <c r="W17" i="5"/>
  <c r="Y16" i="5"/>
  <c r="X16" i="5"/>
  <c r="W16" i="5"/>
  <c r="W15" i="5"/>
  <c r="W14" i="5"/>
  <c r="Y12" i="5"/>
  <c r="X12" i="5"/>
  <c r="W12" i="5"/>
  <c r="Y11" i="5"/>
  <c r="X11" i="5"/>
  <c r="W11" i="5"/>
  <c r="X14" i="5" l="1"/>
  <c r="X10" i="5"/>
  <c r="O19" i="5"/>
  <c r="O18" i="5"/>
  <c r="O17" i="5"/>
  <c r="O16" i="5"/>
  <c r="O15" i="5"/>
  <c r="O12" i="5"/>
  <c r="O11" i="5"/>
  <c r="C4" i="24" l="1"/>
  <c r="C3" i="24"/>
  <c r="B12" i="24" l="1"/>
  <c r="C40" i="24" l="1"/>
  <c r="B36" i="24"/>
  <c r="A36" i="24"/>
  <c r="B33" i="24"/>
  <c r="A33" i="24"/>
  <c r="B30" i="24"/>
  <c r="A30" i="24"/>
  <c r="B27" i="24"/>
  <c r="A27" i="24"/>
  <c r="B24" i="24"/>
  <c r="A24" i="24"/>
  <c r="B21" i="24"/>
  <c r="A21" i="24"/>
  <c r="B18" i="24"/>
  <c r="A18" i="24"/>
  <c r="B15" i="24"/>
  <c r="A15" i="24"/>
  <c r="A12" i="24"/>
  <c r="B9" i="24"/>
  <c r="A9" i="24"/>
  <c r="U19" i="5" l="1"/>
  <c r="S19" i="5"/>
  <c r="U18" i="5"/>
  <c r="S18" i="5"/>
  <c r="U17" i="5"/>
  <c r="S17" i="5"/>
  <c r="U16" i="5"/>
  <c r="S16" i="5"/>
  <c r="U15" i="5"/>
  <c r="S15" i="5"/>
  <c r="U14" i="5"/>
  <c r="S14" i="5"/>
  <c r="U13" i="5"/>
  <c r="Y13" i="5" s="1"/>
  <c r="S13" i="5"/>
  <c r="X13" i="5" s="1"/>
  <c r="U12" i="5"/>
  <c r="S12" i="5"/>
  <c r="U11" i="5"/>
  <c r="S11" i="5"/>
  <c r="U10" i="5"/>
  <c r="S10" i="5"/>
  <c r="AB10" i="5"/>
  <c r="AB11" i="5" s="1"/>
  <c r="AB12" i="5" s="1"/>
  <c r="AB13" i="5" s="1"/>
  <c r="AB14" i="5" s="1"/>
  <c r="AB15" i="5" s="1"/>
  <c r="AB16" i="5" s="1"/>
  <c r="AB17" i="5" s="1"/>
  <c r="AB18" i="5" s="1"/>
  <c r="AB19" i="5" s="1"/>
  <c r="AA10" i="5"/>
  <c r="AA11" i="5" s="1"/>
  <c r="AA12" i="5" s="1"/>
  <c r="AA13" i="5" s="1"/>
  <c r="AA14" i="5" s="1"/>
  <c r="AA15" i="5" s="1"/>
  <c r="AA16" i="5" s="1"/>
  <c r="AA17" i="5" s="1"/>
  <c r="AA18" i="5" s="1"/>
  <c r="AA19" i="5" s="1"/>
  <c r="Z10" i="5"/>
  <c r="Z11" i="5" s="1"/>
  <c r="Z12" i="5" s="1"/>
  <c r="Z13" i="5" s="1"/>
  <c r="Z14" i="5" s="1"/>
  <c r="Z15" i="5" s="1"/>
  <c r="Z16" i="5" s="1"/>
  <c r="Z17" i="5" s="1"/>
  <c r="Z18" i="5" s="1"/>
  <c r="Z19" i="5" s="1"/>
  <c r="K66" i="16" l="1"/>
  <c r="K65" i="16"/>
  <c r="B19" i="5" l="1"/>
  <c r="B18" i="5"/>
  <c r="B17" i="5"/>
  <c r="B16" i="5"/>
  <c r="B15" i="5"/>
  <c r="B14" i="5"/>
  <c r="B13" i="5"/>
  <c r="B12" i="5"/>
  <c r="B11" i="5"/>
  <c r="B10" i="5"/>
  <c r="D19" i="5"/>
  <c r="D18" i="5"/>
  <c r="D17" i="5"/>
  <c r="D16" i="5"/>
  <c r="D15" i="5"/>
  <c r="D14" i="5"/>
  <c r="D13" i="5"/>
  <c r="D12" i="5"/>
  <c r="D11" i="5"/>
  <c r="N7" i="18"/>
  <c r="K7" i="18"/>
  <c r="N6" i="18"/>
  <c r="M6" i="18"/>
  <c r="L6" i="18"/>
  <c r="K6" i="18"/>
  <c r="J6" i="18"/>
  <c r="N5" i="18"/>
  <c r="M5" i="18"/>
  <c r="L5" i="18"/>
  <c r="K5" i="18"/>
  <c r="J5" i="18"/>
  <c r="N7" i="17"/>
  <c r="K7" i="17"/>
  <c r="N6" i="17"/>
  <c r="M6" i="17"/>
  <c r="L6" i="17"/>
  <c r="K6" i="17"/>
  <c r="J6" i="17"/>
  <c r="N5" i="17"/>
  <c r="M5" i="17"/>
  <c r="L5" i="17"/>
  <c r="K5" i="17"/>
  <c r="J5" i="17"/>
  <c r="N7" i="15"/>
  <c r="K7" i="15"/>
  <c r="N6" i="15"/>
  <c r="M6" i="15"/>
  <c r="L6" i="15"/>
  <c r="K6" i="15"/>
  <c r="J6" i="15"/>
  <c r="N5" i="15"/>
  <c r="M5" i="15"/>
  <c r="L5" i="15"/>
  <c r="K5" i="15"/>
  <c r="J5" i="15"/>
  <c r="N7" i="16"/>
  <c r="K7" i="16"/>
  <c r="N6" i="16"/>
  <c r="M6" i="16"/>
  <c r="L6" i="16"/>
  <c r="K6" i="16"/>
  <c r="J6" i="16"/>
  <c r="N5" i="16"/>
  <c r="M5" i="16"/>
  <c r="L5" i="16"/>
  <c r="K5" i="16"/>
  <c r="J5" i="16"/>
  <c r="N7" i="14"/>
  <c r="K7" i="14"/>
  <c r="N6" i="14"/>
  <c r="M6" i="14"/>
  <c r="L6" i="14"/>
  <c r="K6" i="14"/>
  <c r="J6" i="14"/>
  <c r="N5" i="14"/>
  <c r="M5" i="14"/>
  <c r="L5" i="14"/>
  <c r="K5" i="14"/>
  <c r="J5" i="14"/>
  <c r="N7" i="13"/>
  <c r="K7" i="13"/>
  <c r="N6" i="13"/>
  <c r="M6" i="13"/>
  <c r="L6" i="13"/>
  <c r="K6" i="13"/>
  <c r="J6" i="13"/>
  <c r="N5" i="13"/>
  <c r="M5" i="13"/>
  <c r="L5" i="13"/>
  <c r="K5" i="13"/>
  <c r="J5" i="13"/>
  <c r="N7" i="2"/>
  <c r="K7" i="2"/>
  <c r="N6" i="2"/>
  <c r="M6" i="2"/>
  <c r="L6" i="2"/>
  <c r="K6" i="2"/>
  <c r="J6" i="2"/>
  <c r="N5" i="2"/>
  <c r="M5" i="2"/>
  <c r="L5" i="2"/>
  <c r="K5" i="2"/>
  <c r="J5" i="2"/>
  <c r="N7" i="12"/>
  <c r="K7" i="12"/>
  <c r="N6" i="12"/>
  <c r="M6" i="12"/>
  <c r="L6" i="12"/>
  <c r="K6" i="12"/>
  <c r="J6" i="12"/>
  <c r="N5" i="12"/>
  <c r="M5" i="12"/>
  <c r="L5" i="12"/>
  <c r="K5" i="12"/>
  <c r="J5" i="12"/>
  <c r="L6" i="11"/>
  <c r="L5" i="11"/>
  <c r="N7" i="11"/>
  <c r="K7" i="11"/>
  <c r="N6" i="11"/>
  <c r="N5" i="11"/>
  <c r="M6" i="11"/>
  <c r="M5" i="11"/>
  <c r="K6" i="11"/>
  <c r="K5" i="11"/>
  <c r="J6" i="11"/>
  <c r="J5" i="11"/>
  <c r="G4" i="18" l="1"/>
  <c r="G3" i="18"/>
  <c r="G4" i="17"/>
  <c r="G3" i="17"/>
  <c r="G4" i="15"/>
  <c r="G3" i="15"/>
  <c r="G4" i="16"/>
  <c r="G3" i="16"/>
  <c r="G4" i="14"/>
  <c r="G3" i="14"/>
  <c r="G4" i="9"/>
  <c r="G3" i="9"/>
  <c r="G4" i="11"/>
  <c r="G3" i="11"/>
  <c r="G4" i="12"/>
  <c r="G3" i="12"/>
  <c r="G4" i="2"/>
  <c r="G3" i="2"/>
  <c r="G3" i="13"/>
  <c r="G4" i="13"/>
  <c r="A69" i="9" l="1"/>
  <c r="A68" i="9"/>
  <c r="A67" i="9"/>
  <c r="A66" i="9"/>
  <c r="B66" i="9" s="1"/>
  <c r="B68" i="9" s="1"/>
  <c r="A58" i="9"/>
  <c r="A57" i="9"/>
  <c r="A56" i="9"/>
  <c r="A55" i="9"/>
  <c r="B55" i="9" s="1"/>
  <c r="B57" i="9" s="1"/>
  <c r="A79" i="9"/>
  <c r="A78" i="9"/>
  <c r="B77" i="9" s="1"/>
  <c r="B78" i="9" s="1"/>
  <c r="B79" i="9" s="1"/>
  <c r="A77" i="9"/>
  <c r="A47" i="9"/>
  <c r="A46" i="9"/>
  <c r="A45" i="9"/>
  <c r="A37" i="9"/>
  <c r="A36" i="9"/>
  <c r="A35" i="9"/>
  <c r="A27" i="9"/>
  <c r="A26" i="9"/>
  <c r="A25" i="9"/>
  <c r="B25" i="9" s="1"/>
  <c r="B26" i="9" s="1"/>
  <c r="B27" i="9" s="1"/>
  <c r="A27" i="11"/>
  <c r="A26" i="11"/>
  <c r="A25" i="11"/>
  <c r="A24" i="11"/>
  <c r="A16" i="11"/>
  <c r="A15" i="11"/>
  <c r="A14" i="11"/>
  <c r="A13" i="11"/>
  <c r="A56" i="11"/>
  <c r="A55" i="11"/>
  <c r="A54" i="11"/>
  <c r="A46" i="11"/>
  <c r="A45" i="11"/>
  <c r="A44" i="11"/>
  <c r="A36" i="11"/>
  <c r="B35" i="11"/>
  <c r="B36" i="11" s="1"/>
  <c r="A35" i="11"/>
  <c r="A45" i="12"/>
  <c r="A44" i="12"/>
  <c r="A43" i="12"/>
  <c r="A42" i="12"/>
  <c r="A25" i="12"/>
  <c r="A24" i="12"/>
  <c r="A23" i="12"/>
  <c r="B23" i="12" s="1"/>
  <c r="B24" i="12" s="1"/>
  <c r="B25" i="12" s="1"/>
  <c r="A15" i="12"/>
  <c r="A14" i="12"/>
  <c r="A13" i="12"/>
  <c r="A35" i="2"/>
  <c r="A34" i="2"/>
  <c r="A33" i="2"/>
  <c r="A25" i="2"/>
  <c r="A24" i="2"/>
  <c r="A23" i="2"/>
  <c r="A15" i="2"/>
  <c r="A14" i="2"/>
  <c r="B13" i="2"/>
  <c r="B14" i="2" s="1"/>
  <c r="B15" i="2" s="1"/>
  <c r="A13" i="2"/>
  <c r="A82" i="13"/>
  <c r="A81" i="13"/>
  <c r="A80" i="13"/>
  <c r="A79" i="13"/>
  <c r="A78" i="13"/>
  <c r="A70" i="13"/>
  <c r="A69" i="13"/>
  <c r="A68" i="13"/>
  <c r="A67" i="13"/>
  <c r="A59" i="13"/>
  <c r="A58" i="13"/>
  <c r="A57" i="13"/>
  <c r="A56" i="13"/>
  <c r="A48" i="13"/>
  <c r="A47" i="13"/>
  <c r="A46" i="13"/>
  <c r="A45" i="13"/>
  <c r="A37" i="13"/>
  <c r="A36" i="13"/>
  <c r="A35" i="13"/>
  <c r="A34" i="13"/>
  <c r="B34" i="13" s="1"/>
  <c r="B36" i="13" s="1"/>
  <c r="A26" i="13"/>
  <c r="A25" i="13"/>
  <c r="A24" i="13"/>
  <c r="A23" i="13"/>
  <c r="A102" i="13"/>
  <c r="A101" i="13"/>
  <c r="A100" i="13"/>
  <c r="B100" i="13" s="1"/>
  <c r="B101" i="13" s="1"/>
  <c r="B102" i="13" s="1"/>
  <c r="A92" i="13"/>
  <c r="A91" i="13"/>
  <c r="A90" i="13"/>
  <c r="A15" i="13"/>
  <c r="A14" i="13"/>
  <c r="A13" i="13"/>
  <c r="A39" i="14"/>
  <c r="A38" i="14"/>
  <c r="A37" i="14"/>
  <c r="B37" i="14" s="1"/>
  <c r="B38" i="14" s="1"/>
  <c r="B39" i="14" s="1"/>
  <c r="A48" i="14"/>
  <c r="A47" i="14"/>
  <c r="A29" i="14"/>
  <c r="A28" i="14"/>
  <c r="A27" i="14"/>
  <c r="A26" i="14"/>
  <c r="A25" i="14"/>
  <c r="A17" i="14"/>
  <c r="A16" i="14"/>
  <c r="A15" i="14"/>
  <c r="A14" i="14"/>
  <c r="A13" i="14"/>
  <c r="B13" i="14" s="1"/>
  <c r="B14" i="14" s="1"/>
  <c r="B15" i="14" s="1"/>
  <c r="B16" i="14" s="1"/>
  <c r="B17" i="14" s="1"/>
  <c r="A67" i="16"/>
  <c r="A66" i="16"/>
  <c r="A65" i="16"/>
  <c r="A55" i="16"/>
  <c r="A54" i="16"/>
  <c r="A53" i="16"/>
  <c r="A45" i="16"/>
  <c r="A44" i="16"/>
  <c r="A43" i="16"/>
  <c r="A35" i="16"/>
  <c r="A34" i="16"/>
  <c r="A33" i="16"/>
  <c r="B33" i="16" s="1"/>
  <c r="B34" i="16" s="1"/>
  <c r="B35" i="16" s="1"/>
  <c r="A25" i="16"/>
  <c r="A24" i="16"/>
  <c r="A23" i="16"/>
  <c r="B23" i="16" s="1"/>
  <c r="B24" i="16" s="1"/>
  <c r="B25" i="16" s="1"/>
  <c r="A15" i="16"/>
  <c r="A14" i="16"/>
  <c r="A13" i="16"/>
  <c r="A43" i="17"/>
  <c r="A42" i="17"/>
  <c r="A41" i="17"/>
  <c r="A31" i="17"/>
  <c r="A32" i="17"/>
  <c r="B25" i="14" l="1"/>
  <c r="B26" i="14" s="1"/>
  <c r="B27" i="14" s="1"/>
  <c r="B28" i="14" s="1"/>
  <c r="B29" i="14" s="1"/>
  <c r="B45" i="13"/>
  <c r="B47" i="13" s="1"/>
  <c r="B56" i="13"/>
  <c r="B67" i="13"/>
  <c r="B13" i="12"/>
  <c r="B14" i="12" s="1"/>
  <c r="B15" i="12" s="1"/>
  <c r="B54" i="11"/>
  <c r="B55" i="11" s="1"/>
  <c r="B56" i="11" s="1"/>
  <c r="B13" i="16"/>
  <c r="B14" i="16" s="1"/>
  <c r="B15" i="16" s="1"/>
  <c r="B53" i="16"/>
  <c r="B54" i="16" s="1"/>
  <c r="B55" i="16" s="1"/>
  <c r="B47" i="14"/>
  <c r="B48" i="14" s="1"/>
  <c r="B78" i="13"/>
  <c r="B79" i="13" s="1"/>
  <c r="B80" i="13" s="1"/>
  <c r="B81" i="13" s="1"/>
  <c r="B82" i="13" s="1"/>
  <c r="B44" i="11"/>
  <c r="B45" i="11" s="1"/>
  <c r="B46" i="11" s="1"/>
  <c r="B45" i="9"/>
  <c r="B46" i="9" s="1"/>
  <c r="B47" i="9" s="1"/>
  <c r="B13" i="13"/>
  <c r="B14" i="13" s="1"/>
  <c r="B15" i="13" s="1"/>
  <c r="B42" i="12"/>
  <c r="B35" i="9"/>
  <c r="B36" i="9" s="1"/>
  <c r="B37" i="9" s="1"/>
  <c r="B90" i="13"/>
  <c r="B91" i="13" s="1"/>
  <c r="B92" i="13" s="1"/>
  <c r="B23" i="13"/>
  <c r="B25" i="13" s="1"/>
  <c r="B33" i="2"/>
  <c r="B34" i="2" s="1"/>
  <c r="B35" i="2" s="1"/>
  <c r="I35" i="2" s="1"/>
  <c r="B24" i="11"/>
  <c r="B26" i="11" s="1"/>
  <c r="B35" i="13"/>
  <c r="B37" i="13" s="1"/>
  <c r="B13" i="11"/>
  <c r="B15" i="11" s="1"/>
  <c r="B41" i="17"/>
  <c r="B42" i="17" s="1"/>
  <c r="B43" i="17" s="1"/>
  <c r="B43" i="16"/>
  <c r="B44" i="16" s="1"/>
  <c r="B45" i="16" s="1"/>
  <c r="B23" i="2"/>
  <c r="B24" i="2" s="1"/>
  <c r="B25" i="2" s="1"/>
  <c r="B67" i="9"/>
  <c r="B69" i="9" s="1"/>
  <c r="B56" i="9"/>
  <c r="B58" i="9" s="1"/>
  <c r="B25" i="11"/>
  <c r="B27" i="11" s="1"/>
  <c r="B44" i="12"/>
  <c r="B43" i="12"/>
  <c r="B45" i="12" s="1"/>
  <c r="B69" i="13"/>
  <c r="B68" i="13"/>
  <c r="B70" i="13" s="1"/>
  <c r="B58" i="13"/>
  <c r="B57" i="13"/>
  <c r="B59" i="13" s="1"/>
  <c r="B24" i="13"/>
  <c r="B26" i="13" s="1"/>
  <c r="B46" i="13" l="1"/>
  <c r="B48" i="13" s="1"/>
  <c r="B14" i="11"/>
  <c r="B16" i="11" s="1"/>
  <c r="C19" i="5"/>
  <c r="A19" i="5"/>
  <c r="K39" i="18"/>
  <c r="A39" i="18"/>
  <c r="K27" i="18"/>
  <c r="A27" i="18"/>
  <c r="A26" i="18"/>
  <c r="K50" i="18"/>
  <c r="A50" i="18"/>
  <c r="M49" i="18"/>
  <c r="A49" i="18"/>
  <c r="M48" i="18"/>
  <c r="K48" i="18"/>
  <c r="A48" i="18"/>
  <c r="B48" i="18" s="1"/>
  <c r="G46" i="18"/>
  <c r="K40" i="18"/>
  <c r="A40" i="18"/>
  <c r="M38" i="18"/>
  <c r="A38" i="18"/>
  <c r="M37" i="18"/>
  <c r="K37" i="18"/>
  <c r="A37" i="18"/>
  <c r="B37" i="18" s="1"/>
  <c r="G35" i="18"/>
  <c r="M29" i="18"/>
  <c r="K29" i="18"/>
  <c r="A29" i="18"/>
  <c r="A28" i="18"/>
  <c r="M25" i="18"/>
  <c r="K25" i="18"/>
  <c r="A25" i="18"/>
  <c r="G23" i="18"/>
  <c r="M17" i="18"/>
  <c r="K17" i="18"/>
  <c r="A17" i="18"/>
  <c r="K16" i="18"/>
  <c r="A16" i="18"/>
  <c r="K15" i="18"/>
  <c r="A15" i="18"/>
  <c r="M14" i="18"/>
  <c r="A14" i="18"/>
  <c r="M13" i="18"/>
  <c r="K13" i="18"/>
  <c r="A13" i="18"/>
  <c r="G11" i="18"/>
  <c r="N47" i="18"/>
  <c r="M45" i="18"/>
  <c r="K34" i="18"/>
  <c r="C18" i="5"/>
  <c r="A18" i="5"/>
  <c r="K43" i="17"/>
  <c r="M42" i="17"/>
  <c r="G39" i="17"/>
  <c r="K33" i="17"/>
  <c r="A33" i="17"/>
  <c r="B31" i="17" s="1"/>
  <c r="B32" i="17" s="1"/>
  <c r="M32" i="17"/>
  <c r="G29" i="17"/>
  <c r="A23" i="17"/>
  <c r="A22" i="17"/>
  <c r="G20" i="17"/>
  <c r="M14" i="17"/>
  <c r="A14" i="17"/>
  <c r="A13" i="17"/>
  <c r="G11" i="17"/>
  <c r="K40" i="17"/>
  <c r="N20" i="17"/>
  <c r="N19" i="17"/>
  <c r="M38" i="17"/>
  <c r="K38" i="17"/>
  <c r="C16" i="5"/>
  <c r="A16" i="5"/>
  <c r="M67" i="16"/>
  <c r="M66" i="16"/>
  <c r="K67" i="16"/>
  <c r="M64" i="16"/>
  <c r="A64" i="16"/>
  <c r="M63" i="16"/>
  <c r="A63" i="16"/>
  <c r="B63" i="16" s="1"/>
  <c r="G61" i="16"/>
  <c r="K55" i="16"/>
  <c r="M53" i="16"/>
  <c r="K53" i="16"/>
  <c r="G51" i="16"/>
  <c r="K45" i="16"/>
  <c r="M43" i="16"/>
  <c r="K43" i="16"/>
  <c r="G41" i="16"/>
  <c r="K35" i="16"/>
  <c r="M33" i="16"/>
  <c r="K33" i="16"/>
  <c r="G31" i="16"/>
  <c r="M25" i="16"/>
  <c r="K25" i="16"/>
  <c r="M23" i="16"/>
  <c r="K23" i="16"/>
  <c r="G21" i="16"/>
  <c r="K15" i="16"/>
  <c r="M13" i="16"/>
  <c r="G11" i="16"/>
  <c r="K62" i="16"/>
  <c r="N41" i="16"/>
  <c r="M51" i="16"/>
  <c r="L61" i="16"/>
  <c r="K51" i="16"/>
  <c r="J41" i="16"/>
  <c r="N30" i="16"/>
  <c r="M40" i="16"/>
  <c r="K60" i="16"/>
  <c r="J30" i="16"/>
  <c r="C17" i="5"/>
  <c r="A17" i="5"/>
  <c r="M17" i="15"/>
  <c r="K17" i="15"/>
  <c r="A17" i="15"/>
  <c r="K16" i="15"/>
  <c r="A16" i="15"/>
  <c r="K15" i="15"/>
  <c r="A15" i="15"/>
  <c r="M14" i="15"/>
  <c r="A14" i="15"/>
  <c r="M13" i="15"/>
  <c r="K13" i="15"/>
  <c r="A13" i="15"/>
  <c r="G11" i="15"/>
  <c r="K12" i="15"/>
  <c r="L10" i="15"/>
  <c r="I25" i="2"/>
  <c r="I14" i="2"/>
  <c r="C15" i="5"/>
  <c r="A15" i="5"/>
  <c r="G45" i="14"/>
  <c r="F45" i="14" s="1"/>
  <c r="F46" i="14" s="1"/>
  <c r="F47" i="14" s="1"/>
  <c r="F48" i="14" s="1"/>
  <c r="F49" i="14" s="1"/>
  <c r="G35" i="14"/>
  <c r="F35" i="14" s="1"/>
  <c r="F36" i="14" s="1"/>
  <c r="F37" i="14" s="1"/>
  <c r="F38" i="14" s="1"/>
  <c r="F39" i="14" s="1"/>
  <c r="F40" i="14" s="1"/>
  <c r="G23" i="14"/>
  <c r="G11" i="14"/>
  <c r="G98" i="13"/>
  <c r="F98" i="13" s="1"/>
  <c r="F99" i="13" s="1"/>
  <c r="F100" i="13" s="1"/>
  <c r="F101" i="13" s="1"/>
  <c r="F102" i="13" s="1"/>
  <c r="F103" i="13" s="1"/>
  <c r="G88" i="13"/>
  <c r="F88" i="13" s="1"/>
  <c r="F89" i="13" s="1"/>
  <c r="F90" i="13" s="1"/>
  <c r="F91" i="13" s="1"/>
  <c r="F92" i="13" s="1"/>
  <c r="F93" i="13" s="1"/>
  <c r="G76" i="13"/>
  <c r="G65" i="13"/>
  <c r="F65" i="13" s="1"/>
  <c r="F66" i="13" s="1"/>
  <c r="F67" i="13" s="1"/>
  <c r="F68" i="13" s="1"/>
  <c r="F69" i="13" s="1"/>
  <c r="F70" i="13" s="1"/>
  <c r="F71" i="13" s="1"/>
  <c r="G54" i="13"/>
  <c r="F54" i="13" s="1"/>
  <c r="F55" i="13" s="1"/>
  <c r="F56" i="13" s="1"/>
  <c r="F57" i="13" s="1"/>
  <c r="F58" i="13" s="1"/>
  <c r="F59" i="13" s="1"/>
  <c r="F60" i="13" s="1"/>
  <c r="G43" i="13"/>
  <c r="F43" i="13" s="1"/>
  <c r="F44" i="13" s="1"/>
  <c r="F45" i="13" s="1"/>
  <c r="F46" i="13" s="1"/>
  <c r="F47" i="13" s="1"/>
  <c r="F48" i="13" s="1"/>
  <c r="F49" i="13" s="1"/>
  <c r="G32" i="13"/>
  <c r="F32" i="13" s="1"/>
  <c r="G21" i="13"/>
  <c r="F21" i="13" s="1"/>
  <c r="F22" i="13" s="1"/>
  <c r="F23" i="13" s="1"/>
  <c r="F24" i="13" s="1"/>
  <c r="F25" i="13" s="1"/>
  <c r="F26" i="13" s="1"/>
  <c r="F27" i="13" s="1"/>
  <c r="G11" i="13"/>
  <c r="F33" i="13"/>
  <c r="F34" i="13" s="1"/>
  <c r="F35" i="13" s="1"/>
  <c r="F36" i="13" s="1"/>
  <c r="F37" i="13" s="1"/>
  <c r="F38" i="13" s="1"/>
  <c r="G31" i="2"/>
  <c r="F31" i="2" s="1"/>
  <c r="F32" i="2" s="1"/>
  <c r="F33" i="2" s="1"/>
  <c r="F34" i="2" s="1"/>
  <c r="F35" i="2" s="1"/>
  <c r="F36" i="2" s="1"/>
  <c r="G21" i="2"/>
  <c r="F21" i="2" s="1"/>
  <c r="F22" i="2" s="1"/>
  <c r="F23" i="2" s="1"/>
  <c r="F24" i="2" s="1"/>
  <c r="F25" i="2" s="1"/>
  <c r="F26" i="2" s="1"/>
  <c r="G11" i="2"/>
  <c r="F11" i="2" s="1"/>
  <c r="F12" i="2" s="1"/>
  <c r="F13" i="2" s="1"/>
  <c r="F14" i="2" s="1"/>
  <c r="F15" i="2" s="1"/>
  <c r="F16" i="2" s="1"/>
  <c r="F17" i="2" s="1"/>
  <c r="F18" i="2" s="1"/>
  <c r="G75" i="9"/>
  <c r="G64" i="9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G53" i="9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G43" i="9"/>
  <c r="F43" i="9" s="1"/>
  <c r="F44" i="9" s="1"/>
  <c r="F45" i="9" s="1"/>
  <c r="F46" i="9" s="1"/>
  <c r="F47" i="9" s="1"/>
  <c r="F48" i="9" s="1"/>
  <c r="F49" i="9" s="1"/>
  <c r="F50" i="9" s="1"/>
  <c r="F51" i="9" s="1"/>
  <c r="G33" i="9"/>
  <c r="F33" i="9" s="1"/>
  <c r="F34" i="9" s="1"/>
  <c r="F35" i="9" s="1"/>
  <c r="F36" i="9" s="1"/>
  <c r="F37" i="9" s="1"/>
  <c r="F38" i="9" s="1"/>
  <c r="G11" i="9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G62" i="1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G52" i="11"/>
  <c r="G42" i="11"/>
  <c r="G33" i="11"/>
  <c r="F33" i="11" s="1"/>
  <c r="F34" i="11" s="1"/>
  <c r="F35" i="11" s="1"/>
  <c r="F36" i="11" s="1"/>
  <c r="F37" i="11" s="1"/>
  <c r="F38" i="11" s="1"/>
  <c r="F39" i="11" s="1"/>
  <c r="F40" i="11" s="1"/>
  <c r="G22" i="11"/>
  <c r="F22" i="11" s="1"/>
  <c r="G11" i="11"/>
  <c r="F11" i="11" s="1"/>
  <c r="F12" i="11" s="1"/>
  <c r="F13" i="11" s="1"/>
  <c r="F14" i="11" s="1"/>
  <c r="F15" i="11" s="1"/>
  <c r="F16" i="11" s="1"/>
  <c r="F17" i="11" s="1"/>
  <c r="G60" i="12"/>
  <c r="F60" i="12" s="1"/>
  <c r="F61" i="12" s="1"/>
  <c r="F62" i="12" s="1"/>
  <c r="F63" i="12" s="1"/>
  <c r="F64" i="12" s="1"/>
  <c r="F65" i="12" s="1"/>
  <c r="F66" i="12" s="1"/>
  <c r="F67" i="12" s="1"/>
  <c r="G51" i="12"/>
  <c r="F51" i="12" s="1"/>
  <c r="F52" i="12" s="1"/>
  <c r="F53" i="12" s="1"/>
  <c r="F54" i="12" s="1"/>
  <c r="F55" i="12" s="1"/>
  <c r="F56" i="12" s="1"/>
  <c r="F57" i="12" s="1"/>
  <c r="F58" i="12" s="1"/>
  <c r="G40" i="12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G31" i="12"/>
  <c r="F31" i="12" s="1"/>
  <c r="F32" i="12" s="1"/>
  <c r="F33" i="12" s="1"/>
  <c r="F34" i="12" s="1"/>
  <c r="F35" i="12" s="1"/>
  <c r="F36" i="12" s="1"/>
  <c r="F37" i="12" s="1"/>
  <c r="F38" i="12" s="1"/>
  <c r="G21" i="12"/>
  <c r="F21" i="12" s="1"/>
  <c r="F22" i="12" s="1"/>
  <c r="F23" i="12" s="1"/>
  <c r="F24" i="12" s="1"/>
  <c r="F25" i="12" s="1"/>
  <c r="F26" i="12" s="1"/>
  <c r="G11" i="12"/>
  <c r="K27" i="14"/>
  <c r="M47" i="14"/>
  <c r="K39" i="14"/>
  <c r="M37" i="14"/>
  <c r="K37" i="14"/>
  <c r="M29" i="14"/>
  <c r="K29" i="14"/>
  <c r="M25" i="14"/>
  <c r="K25" i="14"/>
  <c r="M17" i="14"/>
  <c r="K17" i="14"/>
  <c r="M16" i="14"/>
  <c r="K16" i="14"/>
  <c r="K15" i="14"/>
  <c r="M14" i="14"/>
  <c r="M13" i="14"/>
  <c r="K13" i="14"/>
  <c r="N44" i="14"/>
  <c r="K82" i="13"/>
  <c r="M81" i="13"/>
  <c r="K80" i="13"/>
  <c r="M79" i="13"/>
  <c r="M78" i="13"/>
  <c r="K78" i="13"/>
  <c r="M92" i="13"/>
  <c r="K92" i="13"/>
  <c r="M90" i="13"/>
  <c r="I90" i="13"/>
  <c r="K90" i="13" s="1"/>
  <c r="K102" i="13"/>
  <c r="K47" i="13"/>
  <c r="K36" i="13"/>
  <c r="K25" i="13"/>
  <c r="C14" i="5"/>
  <c r="A14" i="5"/>
  <c r="M100" i="13"/>
  <c r="I100" i="13"/>
  <c r="K100" i="13" s="1"/>
  <c r="M70" i="13"/>
  <c r="K70" i="13"/>
  <c r="K69" i="13"/>
  <c r="M67" i="13"/>
  <c r="K67" i="13"/>
  <c r="M59" i="13"/>
  <c r="K59" i="13"/>
  <c r="K58" i="13"/>
  <c r="M57" i="13"/>
  <c r="M56" i="13"/>
  <c r="K56" i="13"/>
  <c r="K48" i="13"/>
  <c r="M46" i="13"/>
  <c r="M45" i="13"/>
  <c r="K45" i="13"/>
  <c r="K37" i="13"/>
  <c r="M35" i="13"/>
  <c r="M34" i="13"/>
  <c r="K34" i="13"/>
  <c r="M26" i="13"/>
  <c r="K26" i="13"/>
  <c r="M23" i="13"/>
  <c r="K23" i="13"/>
  <c r="K15" i="13"/>
  <c r="M14" i="13"/>
  <c r="M13" i="13"/>
  <c r="K13" i="13"/>
  <c r="N99" i="13"/>
  <c r="K55" i="13"/>
  <c r="N65" i="13"/>
  <c r="M98" i="13"/>
  <c r="L98" i="13"/>
  <c r="K54" i="13"/>
  <c r="J65" i="13"/>
  <c r="N97" i="13"/>
  <c r="M53" i="13"/>
  <c r="L64" i="13"/>
  <c r="K97" i="13"/>
  <c r="J97" i="13"/>
  <c r="K44" i="12"/>
  <c r="C12" i="5"/>
  <c r="A12" i="5"/>
  <c r="A63" i="12"/>
  <c r="M62" i="12"/>
  <c r="A62" i="12"/>
  <c r="A54" i="12"/>
  <c r="M53" i="12"/>
  <c r="A53" i="12"/>
  <c r="K45" i="12"/>
  <c r="M43" i="12"/>
  <c r="M42" i="12"/>
  <c r="K42" i="12"/>
  <c r="A34" i="12"/>
  <c r="M33" i="12"/>
  <c r="A33" i="12"/>
  <c r="K25" i="12"/>
  <c r="M23" i="12"/>
  <c r="K23" i="12"/>
  <c r="K15" i="12"/>
  <c r="M14" i="12"/>
  <c r="M13" i="12"/>
  <c r="K13" i="12"/>
  <c r="K52" i="12"/>
  <c r="N60" i="12"/>
  <c r="K51" i="12"/>
  <c r="J60" i="12"/>
  <c r="N50" i="12"/>
  <c r="M50" i="12"/>
  <c r="L59" i="12"/>
  <c r="J50" i="12"/>
  <c r="K67" i="11"/>
  <c r="A67" i="11"/>
  <c r="K26" i="11"/>
  <c r="A16" i="9"/>
  <c r="A15" i="9"/>
  <c r="A14" i="9"/>
  <c r="A13" i="9"/>
  <c r="A68" i="11"/>
  <c r="A66" i="11"/>
  <c r="A65" i="11"/>
  <c r="A64" i="11"/>
  <c r="C13" i="5"/>
  <c r="A13" i="5"/>
  <c r="C11" i="5"/>
  <c r="A11" i="5"/>
  <c r="C10" i="5"/>
  <c r="A10" i="5"/>
  <c r="M68" i="11"/>
  <c r="K68" i="11"/>
  <c r="K66" i="11"/>
  <c r="M65" i="11"/>
  <c r="M64" i="11"/>
  <c r="K64" i="11"/>
  <c r="K56" i="11"/>
  <c r="M55" i="11"/>
  <c r="M54" i="11"/>
  <c r="K54" i="11"/>
  <c r="K46" i="11"/>
  <c r="M45" i="11"/>
  <c r="M44" i="11"/>
  <c r="K44" i="11"/>
  <c r="M35" i="11"/>
  <c r="M27" i="11"/>
  <c r="K27" i="11"/>
  <c r="M24" i="11"/>
  <c r="K24" i="11"/>
  <c r="M16" i="11"/>
  <c r="K16" i="11"/>
  <c r="K15" i="11"/>
  <c r="M13" i="11"/>
  <c r="K63" i="11"/>
  <c r="M62" i="11"/>
  <c r="K62" i="11"/>
  <c r="N32" i="11"/>
  <c r="M10" i="11"/>
  <c r="K32" i="11"/>
  <c r="K17" i="9"/>
  <c r="A17" i="9"/>
  <c r="K68" i="9"/>
  <c r="K57" i="9"/>
  <c r="M67" i="9"/>
  <c r="M66" i="9"/>
  <c r="K66" i="9"/>
  <c r="K58" i="9"/>
  <c r="M56" i="9"/>
  <c r="M55" i="9"/>
  <c r="K55" i="9"/>
  <c r="M46" i="9"/>
  <c r="M45" i="9"/>
  <c r="K45" i="9"/>
  <c r="K37" i="9"/>
  <c r="M36" i="9"/>
  <c r="M35" i="9"/>
  <c r="K35" i="9"/>
  <c r="M16" i="9"/>
  <c r="K16" i="9"/>
  <c r="B33" i="12" l="1"/>
  <c r="B22" i="17"/>
  <c r="B25" i="18"/>
  <c r="B13" i="17"/>
  <c r="F23" i="18"/>
  <c r="F26" i="18" s="1"/>
  <c r="F27" i="18" s="1"/>
  <c r="F35" i="18"/>
  <c r="F36" i="18" s="1"/>
  <c r="F37" i="18" s="1"/>
  <c r="F38" i="18" s="1"/>
  <c r="F40" i="18" s="1"/>
  <c r="F41" i="18" s="1"/>
  <c r="G41" i="18" s="1"/>
  <c r="F46" i="18"/>
  <c r="F47" i="18" s="1"/>
  <c r="F48" i="18" s="1"/>
  <c r="F49" i="18" s="1"/>
  <c r="F50" i="18" s="1"/>
  <c r="F51" i="18" s="1"/>
  <c r="F39" i="17"/>
  <c r="F40" i="17" s="1"/>
  <c r="F41" i="17" s="1"/>
  <c r="F42" i="17" s="1"/>
  <c r="F43" i="17" s="1"/>
  <c r="F44" i="17" s="1"/>
  <c r="F29" i="17"/>
  <c r="F30" i="17" s="1"/>
  <c r="F31" i="17" s="1"/>
  <c r="F32" i="17" s="1"/>
  <c r="F33" i="17" s="1"/>
  <c r="F34" i="17" s="1"/>
  <c r="F20" i="17"/>
  <c r="F21" i="17" s="1"/>
  <c r="F22" i="17" s="1"/>
  <c r="F23" i="17" s="1"/>
  <c r="F24" i="17" s="1"/>
  <c r="F21" i="16"/>
  <c r="F22" i="16" s="1"/>
  <c r="F23" i="16" s="1"/>
  <c r="F24" i="16" s="1"/>
  <c r="F25" i="16" s="1"/>
  <c r="F26" i="16" s="1"/>
  <c r="F31" i="16"/>
  <c r="F32" i="16" s="1"/>
  <c r="F33" i="16" s="1"/>
  <c r="F34" i="16" s="1"/>
  <c r="F35" i="16" s="1"/>
  <c r="F36" i="16" s="1"/>
  <c r="F41" i="16"/>
  <c r="F42" i="16" s="1"/>
  <c r="F43" i="16" s="1"/>
  <c r="F44" i="16" s="1"/>
  <c r="F45" i="16" s="1"/>
  <c r="F46" i="16" s="1"/>
  <c r="F51" i="16"/>
  <c r="F52" i="16" s="1"/>
  <c r="F53" i="16" s="1"/>
  <c r="F54" i="16" s="1"/>
  <c r="F55" i="16" s="1"/>
  <c r="F56" i="16" s="1"/>
  <c r="F61" i="16"/>
  <c r="F62" i="16" s="1"/>
  <c r="F63" i="16" s="1"/>
  <c r="F64" i="16" s="1"/>
  <c r="F67" i="16" s="1"/>
  <c r="F68" i="16" s="1"/>
  <c r="I23" i="16"/>
  <c r="F23" i="14"/>
  <c r="F24" i="14" s="1"/>
  <c r="F25" i="14" s="1"/>
  <c r="F26" i="14" s="1"/>
  <c r="F27" i="14" s="1"/>
  <c r="F28" i="14" s="1"/>
  <c r="F29" i="14" s="1"/>
  <c r="F30" i="14" s="1"/>
  <c r="F41" i="14"/>
  <c r="F42" i="14" s="1"/>
  <c r="G40" i="14"/>
  <c r="F50" i="14"/>
  <c r="F51" i="14" s="1"/>
  <c r="G49" i="14"/>
  <c r="F94" i="13"/>
  <c r="F95" i="13" s="1"/>
  <c r="G93" i="13"/>
  <c r="F50" i="13"/>
  <c r="F51" i="13" s="1"/>
  <c r="G49" i="13"/>
  <c r="F61" i="13"/>
  <c r="F62" i="13" s="1"/>
  <c r="G60" i="13"/>
  <c r="F28" i="13"/>
  <c r="F29" i="13" s="1"/>
  <c r="G27" i="13"/>
  <c r="F72" i="13"/>
  <c r="F73" i="13" s="1"/>
  <c r="G71" i="13"/>
  <c r="F104" i="13"/>
  <c r="F105" i="13" s="1"/>
  <c r="G103" i="13"/>
  <c r="F39" i="13"/>
  <c r="F40" i="13" s="1"/>
  <c r="G40" i="13" s="1"/>
  <c r="G38" i="13"/>
  <c r="F77" i="13"/>
  <c r="F78" i="13" s="1"/>
  <c r="F79" i="13" s="1"/>
  <c r="F80" i="13" s="1"/>
  <c r="F81" i="13" s="1"/>
  <c r="F82" i="13" s="1"/>
  <c r="F83" i="13" s="1"/>
  <c r="F76" i="13"/>
  <c r="I91" i="13"/>
  <c r="I13" i="2"/>
  <c r="I15" i="2"/>
  <c r="F37" i="2"/>
  <c r="F38" i="2" s="1"/>
  <c r="G36" i="2"/>
  <c r="F27" i="2"/>
  <c r="F28" i="2" s="1"/>
  <c r="G26" i="2"/>
  <c r="I33" i="2"/>
  <c r="I34" i="2"/>
  <c r="I23" i="2"/>
  <c r="I24" i="2"/>
  <c r="F27" i="12"/>
  <c r="F28" i="12" s="1"/>
  <c r="G26" i="12"/>
  <c r="G64" i="12"/>
  <c r="F75" i="9"/>
  <c r="F76" i="9" s="1"/>
  <c r="F77" i="9" s="1"/>
  <c r="F78" i="9" s="1"/>
  <c r="F79" i="9" s="1"/>
  <c r="F80" i="9" s="1"/>
  <c r="F11" i="18"/>
  <c r="F12" i="18" s="1"/>
  <c r="F13" i="18" s="1"/>
  <c r="F14" i="18" s="1"/>
  <c r="F15" i="18" s="1"/>
  <c r="F16" i="18" s="1"/>
  <c r="F17" i="18" s="1"/>
  <c r="F18" i="18" s="1"/>
  <c r="F11" i="17"/>
  <c r="F12" i="17" s="1"/>
  <c r="F13" i="17" s="1"/>
  <c r="F14" i="17" s="1"/>
  <c r="F15" i="17" s="1"/>
  <c r="F11" i="15"/>
  <c r="F12" i="15" s="1"/>
  <c r="F13" i="15" s="1"/>
  <c r="F14" i="15" s="1"/>
  <c r="F15" i="15" s="1"/>
  <c r="F16" i="15" s="1"/>
  <c r="F17" i="15" s="1"/>
  <c r="F18" i="15" s="1"/>
  <c r="F11" i="16"/>
  <c r="F12" i="16" s="1"/>
  <c r="F13" i="16" s="1"/>
  <c r="F14" i="16" s="1"/>
  <c r="F15" i="16" s="1"/>
  <c r="F16" i="16" s="1"/>
  <c r="F11" i="14"/>
  <c r="F12" i="14" s="1"/>
  <c r="F13" i="14" s="1"/>
  <c r="F14" i="14" s="1"/>
  <c r="F15" i="14" s="1"/>
  <c r="F16" i="14" s="1"/>
  <c r="F17" i="14" s="1"/>
  <c r="F18" i="14" s="1"/>
  <c r="F11" i="13"/>
  <c r="F12" i="13" s="1"/>
  <c r="F13" i="13" s="1"/>
  <c r="F14" i="13" s="1"/>
  <c r="F15" i="13" s="1"/>
  <c r="F16" i="13" s="1"/>
  <c r="F19" i="2"/>
  <c r="G18" i="2"/>
  <c r="G66" i="12"/>
  <c r="G55" i="12"/>
  <c r="G57" i="12"/>
  <c r="G46" i="12"/>
  <c r="G48" i="12"/>
  <c r="G35" i="12"/>
  <c r="G37" i="12"/>
  <c r="F11" i="12"/>
  <c r="F12" i="12" s="1"/>
  <c r="F13" i="12" s="1"/>
  <c r="F14" i="12" s="1"/>
  <c r="F15" i="12" s="1"/>
  <c r="F16" i="12" s="1"/>
  <c r="F53" i="11"/>
  <c r="F54" i="11" s="1"/>
  <c r="F55" i="11" s="1"/>
  <c r="F56" i="11" s="1"/>
  <c r="F57" i="11" s="1"/>
  <c r="F58" i="11" s="1"/>
  <c r="F59" i="11" s="1"/>
  <c r="F60" i="11" s="1"/>
  <c r="F52" i="11"/>
  <c r="F42" i="11"/>
  <c r="F43" i="11" s="1"/>
  <c r="F44" i="11" s="1"/>
  <c r="F45" i="11" s="1"/>
  <c r="F46" i="11" s="1"/>
  <c r="F47" i="11" s="1"/>
  <c r="F48" i="11" s="1"/>
  <c r="F49" i="11" s="1"/>
  <c r="F50" i="11" s="1"/>
  <c r="G69" i="11"/>
  <c r="G71" i="11"/>
  <c r="G37" i="11"/>
  <c r="G39" i="11"/>
  <c r="F18" i="11"/>
  <c r="F19" i="11" s="1"/>
  <c r="G17" i="11"/>
  <c r="G50" i="9"/>
  <c r="G72" i="9"/>
  <c r="F39" i="9"/>
  <c r="F40" i="9" s="1"/>
  <c r="G38" i="9"/>
  <c r="G59" i="9"/>
  <c r="G61" i="9"/>
  <c r="G48" i="9"/>
  <c r="G70" i="9"/>
  <c r="B39" i="18"/>
  <c r="I39" i="18" s="1"/>
  <c r="M39" i="18" s="1"/>
  <c r="N22" i="18"/>
  <c r="L35" i="18"/>
  <c r="K36" i="18"/>
  <c r="L45" i="18"/>
  <c r="K23" i="18"/>
  <c r="M10" i="18"/>
  <c r="J22" i="18"/>
  <c r="M46" i="18"/>
  <c r="K22" i="18"/>
  <c r="K45" i="18"/>
  <c r="K10" i="18"/>
  <c r="J46" i="18"/>
  <c r="J23" i="18"/>
  <c r="J35" i="18"/>
  <c r="N46" i="18"/>
  <c r="N23" i="18"/>
  <c r="N35" i="18"/>
  <c r="N11" i="18"/>
  <c r="J11" i="18"/>
  <c r="L11" i="18"/>
  <c r="K12" i="18"/>
  <c r="B13" i="18"/>
  <c r="L22" i="18"/>
  <c r="M23" i="18"/>
  <c r="N24" i="18"/>
  <c r="M34" i="18"/>
  <c r="J45" i="18"/>
  <c r="N45" i="18"/>
  <c r="K46" i="18"/>
  <c r="L10" i="18"/>
  <c r="M11" i="18"/>
  <c r="N12" i="18"/>
  <c r="M22" i="18"/>
  <c r="J34" i="18"/>
  <c r="N34" i="18"/>
  <c r="K35" i="18"/>
  <c r="L46" i="18"/>
  <c r="K47" i="18"/>
  <c r="B49" i="18"/>
  <c r="B50" i="18" s="1"/>
  <c r="I50" i="18" s="1"/>
  <c r="M50" i="18" s="1"/>
  <c r="D48" i="18" s="1"/>
  <c r="J10" i="18"/>
  <c r="N10" i="18"/>
  <c r="K11" i="18"/>
  <c r="L23" i="18"/>
  <c r="K24" i="18"/>
  <c r="L34" i="18"/>
  <c r="M35" i="18"/>
  <c r="N36" i="18"/>
  <c r="J11" i="17"/>
  <c r="L38" i="17"/>
  <c r="I32" i="17"/>
  <c r="K32" i="17" s="1"/>
  <c r="L10" i="17"/>
  <c r="N12" i="17"/>
  <c r="K29" i="17"/>
  <c r="N40" i="17"/>
  <c r="M10" i="17"/>
  <c r="K20" i="17"/>
  <c r="L29" i="17"/>
  <c r="M19" i="17"/>
  <c r="K28" i="17"/>
  <c r="K30" i="17"/>
  <c r="L39" i="17"/>
  <c r="J10" i="17"/>
  <c r="J38" i="17"/>
  <c r="N10" i="17"/>
  <c r="N38" i="17"/>
  <c r="M29" i="17"/>
  <c r="M20" i="17"/>
  <c r="M11" i="17"/>
  <c r="J19" i="17"/>
  <c r="K19" i="17"/>
  <c r="K10" i="17"/>
  <c r="J39" i="17"/>
  <c r="J29" i="17"/>
  <c r="N39" i="17"/>
  <c r="N29" i="17"/>
  <c r="N11" i="17"/>
  <c r="J20" i="17"/>
  <c r="J28" i="17"/>
  <c r="I31" i="17"/>
  <c r="M39" i="17"/>
  <c r="B23" i="17"/>
  <c r="N28" i="17"/>
  <c r="L11" i="17"/>
  <c r="K12" i="17"/>
  <c r="B14" i="17"/>
  <c r="L19" i="17"/>
  <c r="N21" i="17"/>
  <c r="M28" i="17"/>
  <c r="K39" i="17"/>
  <c r="K11" i="17"/>
  <c r="L20" i="17"/>
  <c r="K21" i="17"/>
  <c r="L28" i="17"/>
  <c r="N30" i="17"/>
  <c r="I45" i="16"/>
  <c r="M45" i="16" s="1"/>
  <c r="N12" i="16"/>
  <c r="M20" i="16"/>
  <c r="K40" i="16"/>
  <c r="N21" i="16"/>
  <c r="N52" i="16"/>
  <c r="K31" i="16"/>
  <c r="K42" i="16"/>
  <c r="L50" i="16"/>
  <c r="L10" i="16"/>
  <c r="I24" i="16"/>
  <c r="K24" i="16" s="1"/>
  <c r="C23" i="16" s="1"/>
  <c r="J61" i="16"/>
  <c r="J21" i="16"/>
  <c r="L41" i="16"/>
  <c r="M60" i="16"/>
  <c r="N61" i="16"/>
  <c r="I35" i="16"/>
  <c r="M35" i="16" s="1"/>
  <c r="J50" i="16"/>
  <c r="J10" i="16"/>
  <c r="J60" i="16"/>
  <c r="J20" i="16"/>
  <c r="J40" i="16"/>
  <c r="N50" i="16"/>
  <c r="N10" i="16"/>
  <c r="N60" i="16"/>
  <c r="N20" i="16"/>
  <c r="N40" i="16"/>
  <c r="M31" i="16"/>
  <c r="M41" i="16"/>
  <c r="M61" i="16"/>
  <c r="M21" i="16"/>
  <c r="M11" i="16"/>
  <c r="K10" i="16"/>
  <c r="L11" i="16"/>
  <c r="K12" i="16"/>
  <c r="L20" i="16"/>
  <c r="N22" i="16"/>
  <c r="M30" i="16"/>
  <c r="J31" i="16"/>
  <c r="N31" i="16"/>
  <c r="K41" i="16"/>
  <c r="K50" i="16"/>
  <c r="L51" i="16"/>
  <c r="K52" i="16"/>
  <c r="L60" i="16"/>
  <c r="N62" i="16"/>
  <c r="M10" i="16"/>
  <c r="J11" i="16"/>
  <c r="N11" i="16"/>
  <c r="K21" i="16"/>
  <c r="K30" i="16"/>
  <c r="L31" i="16"/>
  <c r="K32" i="16"/>
  <c r="L40" i="16"/>
  <c r="N42" i="16"/>
  <c r="M50" i="16"/>
  <c r="J51" i="16"/>
  <c r="N51" i="16"/>
  <c r="K61" i="16"/>
  <c r="K11" i="16"/>
  <c r="K20" i="16"/>
  <c r="L21" i="16"/>
  <c r="K22" i="16"/>
  <c r="L30" i="16"/>
  <c r="N32" i="16"/>
  <c r="K10" i="15"/>
  <c r="N11" i="15"/>
  <c r="J11" i="15"/>
  <c r="B13" i="15"/>
  <c r="M10" i="15"/>
  <c r="L11" i="15"/>
  <c r="L8" i="15" s="1"/>
  <c r="N12" i="15"/>
  <c r="J10" i="15"/>
  <c r="N10" i="15"/>
  <c r="M11" i="15"/>
  <c r="K11" i="15"/>
  <c r="G16" i="2"/>
  <c r="F23" i="11"/>
  <c r="F24" i="11" s="1"/>
  <c r="F25" i="11" s="1"/>
  <c r="F26" i="11" s="1"/>
  <c r="F27" i="11" s="1"/>
  <c r="F28" i="11" s="1"/>
  <c r="B13" i="9"/>
  <c r="B14" i="9" s="1"/>
  <c r="N22" i="14"/>
  <c r="N10" i="14"/>
  <c r="J35" i="14"/>
  <c r="J10" i="14"/>
  <c r="N12" i="14"/>
  <c r="N35" i="14"/>
  <c r="J44" i="14"/>
  <c r="N46" i="14"/>
  <c r="L11" i="14"/>
  <c r="L45" i="14"/>
  <c r="L23" i="14"/>
  <c r="J22" i="14"/>
  <c r="N24" i="14"/>
  <c r="L34" i="14"/>
  <c r="L10" i="14"/>
  <c r="J11" i="14"/>
  <c r="N11" i="14"/>
  <c r="L22" i="14"/>
  <c r="J23" i="14"/>
  <c r="N23" i="14"/>
  <c r="J34" i="14"/>
  <c r="N34" i="14"/>
  <c r="L35" i="14"/>
  <c r="N36" i="14"/>
  <c r="L44" i="14"/>
  <c r="J45" i="14"/>
  <c r="N45" i="14"/>
  <c r="M10" i="14"/>
  <c r="K11" i="14"/>
  <c r="K12" i="14"/>
  <c r="M22" i="14"/>
  <c r="K23" i="14"/>
  <c r="K24" i="14"/>
  <c r="K34" i="14"/>
  <c r="M35" i="14"/>
  <c r="M44" i="14"/>
  <c r="K45" i="14"/>
  <c r="K46" i="14"/>
  <c r="K10" i="14"/>
  <c r="M11" i="14"/>
  <c r="K22" i="14"/>
  <c r="M23" i="14"/>
  <c r="M34" i="14"/>
  <c r="K35" i="14"/>
  <c r="K36" i="14"/>
  <c r="K44" i="14"/>
  <c r="M45" i="14"/>
  <c r="I92" i="13"/>
  <c r="I102" i="13"/>
  <c r="M102" i="13" s="1"/>
  <c r="I101" i="13"/>
  <c r="N75" i="13"/>
  <c r="L76" i="13"/>
  <c r="I70" i="13"/>
  <c r="J75" i="13"/>
  <c r="N77" i="13"/>
  <c r="L88" i="13"/>
  <c r="K75" i="13"/>
  <c r="M76" i="13"/>
  <c r="N88" i="13"/>
  <c r="L75" i="13"/>
  <c r="J76" i="13"/>
  <c r="N76" i="13"/>
  <c r="J88" i="13"/>
  <c r="N89" i="13"/>
  <c r="M75" i="13"/>
  <c r="K76" i="13"/>
  <c r="K77" i="13"/>
  <c r="J87" i="13"/>
  <c r="N87" i="13"/>
  <c r="K87" i="13"/>
  <c r="M88" i="13"/>
  <c r="L87" i="13"/>
  <c r="M87" i="13"/>
  <c r="K88" i="13"/>
  <c r="K89" i="13"/>
  <c r="K65" i="13"/>
  <c r="N43" i="13"/>
  <c r="N11" i="13"/>
  <c r="L20" i="13"/>
  <c r="L32" i="13"/>
  <c r="J98" i="13"/>
  <c r="L10" i="13"/>
  <c r="N33" i="13"/>
  <c r="L42" i="13"/>
  <c r="L54" i="13"/>
  <c r="K66" i="13"/>
  <c r="N98" i="13"/>
  <c r="N55" i="13"/>
  <c r="M64" i="13"/>
  <c r="L97" i="13"/>
  <c r="J21" i="13"/>
  <c r="J11" i="13"/>
  <c r="N21" i="13"/>
  <c r="J43" i="13"/>
  <c r="J31" i="13"/>
  <c r="J53" i="13"/>
  <c r="N53" i="13"/>
  <c r="M10" i="13"/>
  <c r="K11" i="13"/>
  <c r="K12" i="13"/>
  <c r="M20" i="13"/>
  <c r="K21" i="13"/>
  <c r="K22" i="13"/>
  <c r="K31" i="13"/>
  <c r="M32" i="13"/>
  <c r="M42" i="13"/>
  <c r="K43" i="13"/>
  <c r="K44" i="13"/>
  <c r="K53" i="13"/>
  <c r="M54" i="13"/>
  <c r="J64" i="13"/>
  <c r="N64" i="13"/>
  <c r="L65" i="13"/>
  <c r="N66" i="13"/>
  <c r="M97" i="13"/>
  <c r="K98" i="13"/>
  <c r="K99" i="13"/>
  <c r="N31" i="13"/>
  <c r="J10" i="13"/>
  <c r="N10" i="13"/>
  <c r="L11" i="13"/>
  <c r="N12" i="13"/>
  <c r="J20" i="13"/>
  <c r="N20" i="13"/>
  <c r="L21" i="13"/>
  <c r="N22" i="13"/>
  <c r="L31" i="13"/>
  <c r="J32" i="13"/>
  <c r="N32" i="13"/>
  <c r="J42" i="13"/>
  <c r="N42" i="13"/>
  <c r="L43" i="13"/>
  <c r="N44" i="13"/>
  <c r="L53" i="13"/>
  <c r="J54" i="13"/>
  <c r="N54" i="13"/>
  <c r="K64" i="13"/>
  <c r="M65" i="13"/>
  <c r="I25" i="13"/>
  <c r="M25" i="13" s="1"/>
  <c r="I47" i="13"/>
  <c r="M47" i="13" s="1"/>
  <c r="K10" i="13"/>
  <c r="M11" i="13"/>
  <c r="K20" i="13"/>
  <c r="M21" i="13"/>
  <c r="M31" i="13"/>
  <c r="K32" i="13"/>
  <c r="K33" i="13"/>
  <c r="K42" i="13"/>
  <c r="M43" i="13"/>
  <c r="I42" i="12"/>
  <c r="L51" i="12"/>
  <c r="M59" i="12"/>
  <c r="N52" i="12"/>
  <c r="B62" i="12"/>
  <c r="B63" i="12" s="1"/>
  <c r="J21" i="12"/>
  <c r="J11" i="12"/>
  <c r="N21" i="12"/>
  <c r="J40" i="12"/>
  <c r="N11" i="12"/>
  <c r="L20" i="12"/>
  <c r="L31" i="12"/>
  <c r="N40" i="12"/>
  <c r="K60" i="12"/>
  <c r="L10" i="12"/>
  <c r="N32" i="12"/>
  <c r="L39" i="12"/>
  <c r="K61" i="12"/>
  <c r="M10" i="12"/>
  <c r="K11" i="12"/>
  <c r="K12" i="12"/>
  <c r="M20" i="12"/>
  <c r="K21" i="12"/>
  <c r="K22" i="12"/>
  <c r="K30" i="12"/>
  <c r="M31" i="12"/>
  <c r="M39" i="12"/>
  <c r="K40" i="12"/>
  <c r="K41" i="12"/>
  <c r="K50" i="12"/>
  <c r="M51" i="12"/>
  <c r="J59" i="12"/>
  <c r="N59" i="12"/>
  <c r="L60" i="12"/>
  <c r="N61" i="12"/>
  <c r="J30" i="12"/>
  <c r="J10" i="12"/>
  <c r="N10" i="12"/>
  <c r="L11" i="12"/>
  <c r="N12" i="12"/>
  <c r="J20" i="12"/>
  <c r="N20" i="12"/>
  <c r="L21" i="12"/>
  <c r="N22" i="12"/>
  <c r="L30" i="12"/>
  <c r="J31" i="12"/>
  <c r="N31" i="12"/>
  <c r="B34" i="12"/>
  <c r="J39" i="12"/>
  <c r="N39" i="12"/>
  <c r="L40" i="12"/>
  <c r="N41" i="12"/>
  <c r="L50" i="12"/>
  <c r="J51" i="12"/>
  <c r="N51" i="12"/>
  <c r="B53" i="12"/>
  <c r="B54" i="12" s="1"/>
  <c r="K59" i="12"/>
  <c r="M60" i="12"/>
  <c r="N30" i="12"/>
  <c r="K10" i="12"/>
  <c r="M11" i="12"/>
  <c r="K20" i="12"/>
  <c r="M21" i="12"/>
  <c r="M30" i="12"/>
  <c r="K31" i="12"/>
  <c r="K32" i="12"/>
  <c r="K39" i="12"/>
  <c r="M40" i="12"/>
  <c r="B64" i="11"/>
  <c r="B65" i="11" s="1"/>
  <c r="I54" i="11"/>
  <c r="I16" i="11"/>
  <c r="I36" i="11"/>
  <c r="I46" i="11"/>
  <c r="M46" i="11" s="1"/>
  <c r="D44" i="11" s="1"/>
  <c r="N61" i="11"/>
  <c r="M11" i="11"/>
  <c r="I79" i="9"/>
  <c r="M79" i="9" s="1"/>
  <c r="I69" i="9"/>
  <c r="I58" i="9"/>
  <c r="M58" i="9" s="1"/>
  <c r="I47" i="9"/>
  <c r="I37" i="9"/>
  <c r="M37" i="9" s="1"/>
  <c r="D35" i="9" s="1"/>
  <c r="I27" i="9"/>
  <c r="I15" i="11"/>
  <c r="M15" i="11" s="1"/>
  <c r="N41" i="11"/>
  <c r="K12" i="11"/>
  <c r="K53" i="11"/>
  <c r="L10" i="11"/>
  <c r="K23" i="11"/>
  <c r="L21" i="11"/>
  <c r="L51" i="11"/>
  <c r="K33" i="11"/>
  <c r="K11" i="11"/>
  <c r="K22" i="11"/>
  <c r="K34" i="11"/>
  <c r="L41" i="11"/>
  <c r="K52" i="11"/>
  <c r="L61" i="11"/>
  <c r="L52" i="11"/>
  <c r="L11" i="11"/>
  <c r="K21" i="11"/>
  <c r="J33" i="11"/>
  <c r="J62" i="11"/>
  <c r="J42" i="11"/>
  <c r="N33" i="11"/>
  <c r="N62" i="11"/>
  <c r="N42" i="11"/>
  <c r="K10" i="11"/>
  <c r="J11" i="11"/>
  <c r="J21" i="11"/>
  <c r="N22" i="11"/>
  <c r="M33" i="11"/>
  <c r="K41" i="11"/>
  <c r="L42" i="11"/>
  <c r="N52" i="11"/>
  <c r="K61" i="11"/>
  <c r="L62" i="11"/>
  <c r="J22" i="11"/>
  <c r="J32" i="11"/>
  <c r="M42" i="11"/>
  <c r="J52" i="11"/>
  <c r="M61" i="11"/>
  <c r="M41" i="11"/>
  <c r="M51" i="11"/>
  <c r="N53" i="11"/>
  <c r="N12" i="11"/>
  <c r="M21" i="11"/>
  <c r="N23" i="11"/>
  <c r="N34" i="11"/>
  <c r="N43" i="11"/>
  <c r="K51" i="11"/>
  <c r="N63" i="11"/>
  <c r="J51" i="11"/>
  <c r="J10" i="11"/>
  <c r="N51" i="11"/>
  <c r="N10" i="11"/>
  <c r="M22" i="11"/>
  <c r="N11" i="11"/>
  <c r="N21" i="11"/>
  <c r="L22" i="11"/>
  <c r="M32" i="11"/>
  <c r="L33" i="11"/>
  <c r="J41" i="11"/>
  <c r="M52" i="11"/>
  <c r="J61" i="11"/>
  <c r="L32" i="11"/>
  <c r="K42" i="11"/>
  <c r="K43" i="11"/>
  <c r="K79" i="9"/>
  <c r="M78" i="9"/>
  <c r="M77" i="9"/>
  <c r="M27" i="9"/>
  <c r="K27" i="9"/>
  <c r="M25" i="9"/>
  <c r="K25" i="9"/>
  <c r="K15" i="9"/>
  <c r="M14" i="9"/>
  <c r="M13" i="9"/>
  <c r="K13" i="9"/>
  <c r="G110" i="6"/>
  <c r="A110" i="6"/>
  <c r="G109" i="6"/>
  <c r="A109" i="6"/>
  <c r="G108" i="6"/>
  <c r="A108" i="6"/>
  <c r="G107" i="6"/>
  <c r="A107" i="6"/>
  <c r="G106" i="6"/>
  <c r="A106" i="6"/>
  <c r="G105" i="6"/>
  <c r="A105" i="6"/>
  <c r="G104" i="6"/>
  <c r="A104" i="6"/>
  <c r="G103" i="6"/>
  <c r="A103" i="6"/>
  <c r="G102" i="6"/>
  <c r="A102" i="6"/>
  <c r="G101" i="6"/>
  <c r="A101" i="6"/>
  <c r="G100" i="6"/>
  <c r="A100" i="6"/>
  <c r="G99" i="6"/>
  <c r="A99" i="6"/>
  <c r="G98" i="6"/>
  <c r="A98" i="6"/>
  <c r="G97" i="6"/>
  <c r="A97" i="6"/>
  <c r="G96" i="6"/>
  <c r="A96" i="6"/>
  <c r="G95" i="6"/>
  <c r="A95" i="6"/>
  <c r="G94" i="6"/>
  <c r="A94" i="6"/>
  <c r="G93" i="6"/>
  <c r="A93" i="6"/>
  <c r="G92" i="6"/>
  <c r="A92" i="6"/>
  <c r="G91" i="6"/>
  <c r="A91" i="6"/>
  <c r="G90" i="6"/>
  <c r="A90" i="6"/>
  <c r="G89" i="6"/>
  <c r="A89" i="6"/>
  <c r="G88" i="6"/>
  <c r="A88" i="6"/>
  <c r="G87" i="6"/>
  <c r="A87" i="6"/>
  <c r="G86" i="6"/>
  <c r="A86" i="6"/>
  <c r="G85" i="6"/>
  <c r="A85" i="6"/>
  <c r="G84" i="6"/>
  <c r="A84" i="6"/>
  <c r="G83" i="6"/>
  <c r="A83" i="6"/>
  <c r="G82" i="6"/>
  <c r="A82" i="6"/>
  <c r="G81" i="6"/>
  <c r="A81" i="6"/>
  <c r="G80" i="6"/>
  <c r="A80" i="6"/>
  <c r="G79" i="6"/>
  <c r="A79" i="6"/>
  <c r="G78" i="6"/>
  <c r="A78" i="6"/>
  <c r="G77" i="6"/>
  <c r="A77" i="6"/>
  <c r="G76" i="6"/>
  <c r="A76" i="6"/>
  <c r="G75" i="6"/>
  <c r="A75" i="6"/>
  <c r="G74" i="6"/>
  <c r="A74" i="6"/>
  <c r="G73" i="6"/>
  <c r="A73" i="6"/>
  <c r="G72" i="6"/>
  <c r="A72" i="6"/>
  <c r="G71" i="6"/>
  <c r="A71" i="6"/>
  <c r="G70" i="6"/>
  <c r="A70" i="6"/>
  <c r="G69" i="6"/>
  <c r="A69" i="6"/>
  <c r="G68" i="6"/>
  <c r="A68" i="6"/>
  <c r="G67" i="6"/>
  <c r="A67" i="6"/>
  <c r="G66" i="6"/>
  <c r="A66" i="6"/>
  <c r="G65" i="6"/>
  <c r="A65" i="6"/>
  <c r="G64" i="6"/>
  <c r="A64" i="6"/>
  <c r="G63" i="6"/>
  <c r="A63" i="6"/>
  <c r="G62" i="6"/>
  <c r="A62" i="6"/>
  <c r="G61" i="6"/>
  <c r="A61" i="6"/>
  <c r="G60" i="6"/>
  <c r="A60" i="6"/>
  <c r="G59" i="6"/>
  <c r="A59" i="6"/>
  <c r="G58" i="6"/>
  <c r="A58" i="6"/>
  <c r="G57" i="6"/>
  <c r="A57" i="6"/>
  <c r="G56" i="6"/>
  <c r="A56" i="6"/>
  <c r="G55" i="6"/>
  <c r="A55" i="6"/>
  <c r="G54" i="6"/>
  <c r="A54" i="6"/>
  <c r="G53" i="6"/>
  <c r="A53" i="6"/>
  <c r="G52" i="6"/>
  <c r="A52" i="6"/>
  <c r="G51" i="6"/>
  <c r="A51" i="6"/>
  <c r="G50" i="6"/>
  <c r="A50" i="6"/>
  <c r="G49" i="6"/>
  <c r="A49" i="6"/>
  <c r="G48" i="6"/>
  <c r="A48" i="6"/>
  <c r="G47" i="6"/>
  <c r="A47" i="6"/>
  <c r="G46" i="6"/>
  <c r="A46" i="6"/>
  <c r="G45" i="6"/>
  <c r="A45" i="6"/>
  <c r="G44" i="6"/>
  <c r="A44" i="6"/>
  <c r="G43" i="6"/>
  <c r="A43" i="6"/>
  <c r="G42" i="6"/>
  <c r="A42" i="6"/>
  <c r="G41" i="6"/>
  <c r="A41" i="6"/>
  <c r="G40" i="6"/>
  <c r="A40" i="6"/>
  <c r="G39" i="6"/>
  <c r="A39" i="6"/>
  <c r="G38" i="6"/>
  <c r="A38" i="6"/>
  <c r="G37" i="6"/>
  <c r="A37" i="6"/>
  <c r="G36" i="6"/>
  <c r="A36" i="6"/>
  <c r="G35" i="6"/>
  <c r="A35" i="6"/>
  <c r="G34" i="6"/>
  <c r="A34" i="6"/>
  <c r="G33" i="6"/>
  <c r="A33" i="6"/>
  <c r="G32" i="6"/>
  <c r="A32" i="6"/>
  <c r="G31" i="6"/>
  <c r="A31" i="6"/>
  <c r="G30" i="6"/>
  <c r="A30" i="6"/>
  <c r="G29" i="6"/>
  <c r="A29" i="6"/>
  <c r="G28" i="6"/>
  <c r="A28" i="6"/>
  <c r="G27" i="6"/>
  <c r="A27" i="6"/>
  <c r="G26" i="6"/>
  <c r="A26" i="6"/>
  <c r="G25" i="6"/>
  <c r="A25" i="6"/>
  <c r="G24" i="6"/>
  <c r="A24" i="6"/>
  <c r="G23" i="6"/>
  <c r="A23" i="6"/>
  <c r="G22" i="6"/>
  <c r="A22" i="6"/>
  <c r="G21" i="6"/>
  <c r="A21" i="6"/>
  <c r="G20" i="6"/>
  <c r="A20" i="6"/>
  <c r="G19" i="6"/>
  <c r="A19" i="6"/>
  <c r="G18" i="6"/>
  <c r="A18" i="6"/>
  <c r="G17" i="6"/>
  <c r="A17" i="6"/>
  <c r="G16" i="6"/>
  <c r="A16" i="6"/>
  <c r="G15" i="6"/>
  <c r="A15" i="6"/>
  <c r="G14" i="6"/>
  <c r="A14" i="6"/>
  <c r="G13" i="6"/>
  <c r="A13" i="6"/>
  <c r="G12" i="6"/>
  <c r="A12" i="6"/>
  <c r="G11" i="6"/>
  <c r="A11" i="6"/>
  <c r="G10" i="6"/>
  <c r="G6" i="6"/>
  <c r="G5" i="6"/>
  <c r="L22" i="5"/>
  <c r="I13" i="9" l="1"/>
  <c r="K69" i="9"/>
  <c r="M69" i="9"/>
  <c r="M101" i="13"/>
  <c r="K101" i="13"/>
  <c r="C100" i="13" s="1"/>
  <c r="M91" i="13"/>
  <c r="D90" i="13" s="1"/>
  <c r="E90" i="13" s="1"/>
  <c r="E91" i="13" s="1"/>
  <c r="E92" i="13" s="1"/>
  <c r="K91" i="13"/>
  <c r="C90" i="13" s="1"/>
  <c r="D100" i="13"/>
  <c r="E100" i="13" s="1"/>
  <c r="E101" i="13" s="1"/>
  <c r="E102" i="13" s="1"/>
  <c r="M31" i="17"/>
  <c r="K31" i="17"/>
  <c r="C31" i="17" s="1"/>
  <c r="G47" i="11"/>
  <c r="D77" i="9"/>
  <c r="I8" i="2"/>
  <c r="J13" i="5" s="1"/>
  <c r="V13" i="5" s="1"/>
  <c r="F52" i="18"/>
  <c r="F53" i="18" s="1"/>
  <c r="G51" i="18"/>
  <c r="F42" i="18"/>
  <c r="F43" i="18" s="1"/>
  <c r="G43" i="18" s="1"/>
  <c r="F39" i="18"/>
  <c r="F24" i="18"/>
  <c r="F25" i="18" s="1"/>
  <c r="F28" i="18" s="1"/>
  <c r="F29" i="18" s="1"/>
  <c r="F30" i="18" s="1"/>
  <c r="G24" i="17"/>
  <c r="F25" i="17"/>
  <c r="F26" i="17" s="1"/>
  <c r="G26" i="17" s="1"/>
  <c r="G34" i="17"/>
  <c r="F35" i="17"/>
  <c r="F36" i="17" s="1"/>
  <c r="G36" i="17" s="1"/>
  <c r="G44" i="17"/>
  <c r="F45" i="17"/>
  <c r="F46" i="17" s="1"/>
  <c r="G46" i="17" s="1"/>
  <c r="I41" i="17"/>
  <c r="B33" i="17"/>
  <c r="I33" i="17" s="1"/>
  <c r="M33" i="17" s="1"/>
  <c r="F57" i="16"/>
  <c r="F58" i="16" s="1"/>
  <c r="G56" i="16"/>
  <c r="G46" i="16"/>
  <c r="F47" i="16"/>
  <c r="F48" i="16" s="1"/>
  <c r="G48" i="16" s="1"/>
  <c r="G36" i="16"/>
  <c r="F37" i="16"/>
  <c r="F38" i="16" s="1"/>
  <c r="G38" i="16" s="1"/>
  <c r="G68" i="16"/>
  <c r="F69" i="16"/>
  <c r="F70" i="16" s="1"/>
  <c r="G70" i="16" s="1"/>
  <c r="G26" i="16"/>
  <c r="F27" i="16"/>
  <c r="F28" i="16" s="1"/>
  <c r="G28" i="16" s="1"/>
  <c r="B64" i="16"/>
  <c r="B65" i="16" s="1"/>
  <c r="I33" i="16"/>
  <c r="I34" i="16"/>
  <c r="F31" i="14"/>
  <c r="F32" i="14" s="1"/>
  <c r="G30" i="14"/>
  <c r="F52" i="14"/>
  <c r="G51" i="14"/>
  <c r="F43" i="14"/>
  <c r="G42" i="14"/>
  <c r="F84" i="13"/>
  <c r="F85" i="13" s="1"/>
  <c r="G83" i="13"/>
  <c r="F106" i="13"/>
  <c r="G105" i="13"/>
  <c r="F30" i="13"/>
  <c r="G29" i="13"/>
  <c r="F52" i="13"/>
  <c r="G51" i="13"/>
  <c r="F41" i="13"/>
  <c r="F74" i="13"/>
  <c r="G73" i="13"/>
  <c r="F63" i="13"/>
  <c r="G62" i="13"/>
  <c r="F96" i="13"/>
  <c r="G95" i="13"/>
  <c r="I79" i="13"/>
  <c r="K79" i="13" s="1"/>
  <c r="I67" i="13"/>
  <c r="F39" i="2"/>
  <c r="G38" i="2"/>
  <c r="F29" i="2"/>
  <c r="G28" i="2"/>
  <c r="F29" i="12"/>
  <c r="G28" i="12"/>
  <c r="G80" i="9"/>
  <c r="F81" i="9"/>
  <c r="F82" i="9" s="1"/>
  <c r="F83" i="9" s="1"/>
  <c r="I67" i="9"/>
  <c r="K67" i="9" s="1"/>
  <c r="C66" i="9" s="1"/>
  <c r="G18" i="18"/>
  <c r="F19" i="18"/>
  <c r="F20" i="18" s="1"/>
  <c r="F21" i="18" s="1"/>
  <c r="F16" i="17"/>
  <c r="F17" i="17" s="1"/>
  <c r="F18" i="17" s="1"/>
  <c r="G15" i="17"/>
  <c r="F19" i="15"/>
  <c r="F20" i="15" s="1"/>
  <c r="G20" i="15" s="1"/>
  <c r="G18" i="15"/>
  <c r="F17" i="16"/>
  <c r="F18" i="16" s="1"/>
  <c r="G16" i="16"/>
  <c r="F19" i="14"/>
  <c r="F20" i="14" s="1"/>
  <c r="G18" i="14"/>
  <c r="F17" i="13"/>
  <c r="F18" i="13" s="1"/>
  <c r="G16" i="13"/>
  <c r="F17" i="12"/>
  <c r="F18" i="12" s="1"/>
  <c r="G16" i="12"/>
  <c r="G59" i="11"/>
  <c r="K36" i="11"/>
  <c r="M36" i="11"/>
  <c r="D35" i="11" s="1"/>
  <c r="G57" i="11"/>
  <c r="G49" i="11"/>
  <c r="F29" i="11"/>
  <c r="F30" i="11" s="1"/>
  <c r="G28" i="11"/>
  <c r="F20" i="11"/>
  <c r="G19" i="11"/>
  <c r="I56" i="9"/>
  <c r="K56" i="9" s="1"/>
  <c r="C55" i="9" s="1"/>
  <c r="G82" i="9"/>
  <c r="M47" i="9"/>
  <c r="D45" i="9" s="1"/>
  <c r="K47" i="9"/>
  <c r="F41" i="9"/>
  <c r="G40" i="9"/>
  <c r="I48" i="18"/>
  <c r="B26" i="18"/>
  <c r="B38" i="18"/>
  <c r="I37" i="18"/>
  <c r="I25" i="18"/>
  <c r="I49" i="18"/>
  <c r="K49" i="18" s="1"/>
  <c r="C48" i="18" s="1"/>
  <c r="J8" i="18"/>
  <c r="I13" i="18"/>
  <c r="B14" i="18"/>
  <c r="K28" i="18"/>
  <c r="L8" i="18"/>
  <c r="L8" i="17"/>
  <c r="H4" i="17" s="1"/>
  <c r="I23" i="17"/>
  <c r="I43" i="17"/>
  <c r="M43" i="17" s="1"/>
  <c r="I42" i="17"/>
  <c r="K42" i="17" s="1"/>
  <c r="I22" i="17"/>
  <c r="I14" i="17"/>
  <c r="K14" i="17" s="1"/>
  <c r="J8" i="17"/>
  <c r="I13" i="17"/>
  <c r="I63" i="16"/>
  <c r="K63" i="16" s="1"/>
  <c r="L8" i="16"/>
  <c r="I43" i="16"/>
  <c r="I44" i="16"/>
  <c r="M24" i="16"/>
  <c r="D23" i="16" s="1"/>
  <c r="E23" i="16" s="1"/>
  <c r="E24" i="16" s="1"/>
  <c r="E25" i="16" s="1"/>
  <c r="I25" i="16"/>
  <c r="J8" i="16"/>
  <c r="F71" i="16"/>
  <c r="I14" i="16"/>
  <c r="I54" i="16"/>
  <c r="I55" i="16"/>
  <c r="M55" i="16" s="1"/>
  <c r="I13" i="16"/>
  <c r="K13" i="16" s="1"/>
  <c r="I53" i="16"/>
  <c r="I15" i="16"/>
  <c r="M15" i="16" s="1"/>
  <c r="F49" i="16"/>
  <c r="J8" i="15"/>
  <c r="B14" i="15"/>
  <c r="I13" i="15"/>
  <c r="I68" i="9"/>
  <c r="M68" i="9" s="1"/>
  <c r="B15" i="9"/>
  <c r="I14" i="9"/>
  <c r="K14" i="9" s="1"/>
  <c r="C13" i="9" s="1"/>
  <c r="I66" i="9"/>
  <c r="J8" i="14"/>
  <c r="I37" i="14"/>
  <c r="I14" i="14"/>
  <c r="K14" i="14" s="1"/>
  <c r="C13" i="14" s="1"/>
  <c r="L8" i="14"/>
  <c r="I47" i="14"/>
  <c r="K47" i="14" s="1"/>
  <c r="I25" i="14"/>
  <c r="I48" i="14"/>
  <c r="I13" i="14"/>
  <c r="I78" i="13"/>
  <c r="I37" i="13"/>
  <c r="M37" i="13" s="1"/>
  <c r="I36" i="13"/>
  <c r="M36" i="13" s="1"/>
  <c r="D34" i="13" s="1"/>
  <c r="L8" i="13"/>
  <c r="I69" i="13"/>
  <c r="M69" i="13" s="1"/>
  <c r="I68" i="13"/>
  <c r="I23" i="13"/>
  <c r="J8" i="13"/>
  <c r="I35" i="13"/>
  <c r="K35" i="13" s="1"/>
  <c r="C34" i="13" s="1"/>
  <c r="I34" i="13"/>
  <c r="I58" i="13"/>
  <c r="M58" i="13" s="1"/>
  <c r="D56" i="13" s="1"/>
  <c r="I59" i="13"/>
  <c r="I45" i="13"/>
  <c r="I13" i="13"/>
  <c r="I57" i="13"/>
  <c r="K57" i="13" s="1"/>
  <c r="C56" i="13" s="1"/>
  <c r="I56" i="13"/>
  <c r="I45" i="12"/>
  <c r="M45" i="12" s="1"/>
  <c r="I44" i="12"/>
  <c r="M44" i="12" s="1"/>
  <c r="I62" i="12"/>
  <c r="K62" i="12" s="1"/>
  <c r="I63" i="12"/>
  <c r="I43" i="12"/>
  <c r="K43" i="12" s="1"/>
  <c r="C42" i="12" s="1"/>
  <c r="L8" i="12"/>
  <c r="I23" i="12"/>
  <c r="J8" i="12"/>
  <c r="I53" i="12"/>
  <c r="K53" i="12" s="1"/>
  <c r="I13" i="12"/>
  <c r="I33" i="12"/>
  <c r="K33" i="12" s="1"/>
  <c r="I34" i="12"/>
  <c r="I54" i="12"/>
  <c r="I64" i="11"/>
  <c r="B66" i="11"/>
  <c r="B68" i="11" s="1"/>
  <c r="I68" i="11" s="1"/>
  <c r="B67" i="11"/>
  <c r="I67" i="11" s="1"/>
  <c r="M67" i="11" s="1"/>
  <c r="I45" i="11"/>
  <c r="K45" i="11" s="1"/>
  <c r="C44" i="11" s="1"/>
  <c r="E44" i="11" s="1"/>
  <c r="E45" i="11" s="1"/>
  <c r="E46" i="11" s="1"/>
  <c r="I65" i="11"/>
  <c r="K65" i="11" s="1"/>
  <c r="C64" i="11" s="1"/>
  <c r="I66" i="11"/>
  <c r="M66" i="11" s="1"/>
  <c r="I35" i="11"/>
  <c r="K35" i="11" s="1"/>
  <c r="I14" i="11"/>
  <c r="I44" i="11"/>
  <c r="I13" i="11"/>
  <c r="K13" i="11" s="1"/>
  <c r="I24" i="11"/>
  <c r="I26" i="11"/>
  <c r="M26" i="11" s="1"/>
  <c r="I78" i="9"/>
  <c r="K78" i="9" s="1"/>
  <c r="C77" i="9" s="1"/>
  <c r="I77" i="9"/>
  <c r="K77" i="9" s="1"/>
  <c r="I57" i="9"/>
  <c r="M57" i="9" s="1"/>
  <c r="D55" i="9" s="1"/>
  <c r="I55" i="9"/>
  <c r="I45" i="9"/>
  <c r="I46" i="9"/>
  <c r="K46" i="9" s="1"/>
  <c r="I36" i="9"/>
  <c r="K36" i="9" s="1"/>
  <c r="C35" i="9" s="1"/>
  <c r="E35" i="9" s="1"/>
  <c r="E36" i="9" s="1"/>
  <c r="E37" i="9" s="1"/>
  <c r="I35" i="9"/>
  <c r="I25" i="9"/>
  <c r="I27" i="11"/>
  <c r="I25" i="11"/>
  <c r="M25" i="11" s="1"/>
  <c r="I55" i="11"/>
  <c r="K55" i="11" s="1"/>
  <c r="C54" i="11" s="1"/>
  <c r="J8" i="11"/>
  <c r="L8" i="11"/>
  <c r="K52" i="9"/>
  <c r="K63" i="9"/>
  <c r="J53" i="9"/>
  <c r="J64" i="9"/>
  <c r="N53" i="9"/>
  <c r="N64" i="9"/>
  <c r="J52" i="9"/>
  <c r="J63" i="9"/>
  <c r="M53" i="9"/>
  <c r="M64" i="9"/>
  <c r="L52" i="9"/>
  <c r="L63" i="9"/>
  <c r="K53" i="9"/>
  <c r="K64" i="9"/>
  <c r="K54" i="9"/>
  <c r="K65" i="9"/>
  <c r="N52" i="9"/>
  <c r="N63" i="9"/>
  <c r="M52" i="9"/>
  <c r="M63" i="9"/>
  <c r="L53" i="9"/>
  <c r="L64" i="9"/>
  <c r="N54" i="9"/>
  <c r="N65" i="9"/>
  <c r="J32" i="9"/>
  <c r="J42" i="9"/>
  <c r="N32" i="9"/>
  <c r="N42" i="9"/>
  <c r="M33" i="9"/>
  <c r="M43" i="9"/>
  <c r="K32" i="9"/>
  <c r="K42" i="9"/>
  <c r="N33" i="9"/>
  <c r="N43" i="9"/>
  <c r="J33" i="9"/>
  <c r="J43" i="9"/>
  <c r="L32" i="9"/>
  <c r="L42" i="9"/>
  <c r="K33" i="9"/>
  <c r="K43" i="9"/>
  <c r="K34" i="9"/>
  <c r="K44" i="9"/>
  <c r="M32" i="9"/>
  <c r="M42" i="9"/>
  <c r="L33" i="9"/>
  <c r="L43" i="9"/>
  <c r="N34" i="9"/>
  <c r="N44" i="9"/>
  <c r="K22" i="9"/>
  <c r="K74" i="9"/>
  <c r="J23" i="9"/>
  <c r="J75" i="9"/>
  <c r="N23" i="9"/>
  <c r="N75" i="9"/>
  <c r="J10" i="9"/>
  <c r="J74" i="9"/>
  <c r="M11" i="9"/>
  <c r="M75" i="9"/>
  <c r="L10" i="9"/>
  <c r="L74" i="9"/>
  <c r="K11" i="9"/>
  <c r="K75" i="9"/>
  <c r="K12" i="9"/>
  <c r="K76" i="9"/>
  <c r="N10" i="9"/>
  <c r="N74" i="9"/>
  <c r="M22" i="9"/>
  <c r="M74" i="9"/>
  <c r="L23" i="9"/>
  <c r="L75" i="9"/>
  <c r="N24" i="9"/>
  <c r="N76" i="9"/>
  <c r="N11" i="9"/>
  <c r="J22" i="9"/>
  <c r="K10" i="9"/>
  <c r="M23" i="9"/>
  <c r="J11" i="9"/>
  <c r="N22" i="9"/>
  <c r="M10" i="9"/>
  <c r="L11" i="9"/>
  <c r="N12" i="9"/>
  <c r="L22" i="9"/>
  <c r="K23" i="9"/>
  <c r="K24" i="9"/>
  <c r="G4" i="6"/>
  <c r="G7" i="6"/>
  <c r="K32" i="2"/>
  <c r="M31" i="2"/>
  <c r="L31" i="2"/>
  <c r="K31" i="2"/>
  <c r="L30" i="2"/>
  <c r="M35" i="2"/>
  <c r="K35" i="2"/>
  <c r="M34" i="2"/>
  <c r="K34" i="2"/>
  <c r="M33" i="2"/>
  <c r="K33" i="2"/>
  <c r="M25" i="2"/>
  <c r="M24" i="2"/>
  <c r="M23" i="2"/>
  <c r="M15" i="2"/>
  <c r="M14" i="2"/>
  <c r="K25" i="2"/>
  <c r="K24" i="2"/>
  <c r="K23" i="2"/>
  <c r="K15" i="2"/>
  <c r="K13" i="2"/>
  <c r="D66" i="9" l="1"/>
  <c r="K54" i="12"/>
  <c r="C53" i="12" s="1"/>
  <c r="M54" i="12"/>
  <c r="D53" i="12" s="1"/>
  <c r="E53" i="12" s="1"/>
  <c r="F21" i="15"/>
  <c r="F29" i="16"/>
  <c r="K44" i="16"/>
  <c r="C43" i="16" s="1"/>
  <c r="M44" i="16"/>
  <c r="D43" i="16" s="1"/>
  <c r="C35" i="11"/>
  <c r="K34" i="16"/>
  <c r="C33" i="16" s="1"/>
  <c r="M34" i="16"/>
  <c r="D33" i="16" s="1"/>
  <c r="D24" i="11"/>
  <c r="D64" i="11"/>
  <c r="E64" i="11" s="1"/>
  <c r="E65" i="11" s="1"/>
  <c r="H3" i="17"/>
  <c r="K14" i="11"/>
  <c r="C13" i="11" s="1"/>
  <c r="M14" i="11"/>
  <c r="D13" i="11" s="1"/>
  <c r="K14" i="16"/>
  <c r="C13" i="16" s="1"/>
  <c r="M14" i="16"/>
  <c r="M22" i="17"/>
  <c r="K22" i="17"/>
  <c r="K68" i="13"/>
  <c r="C67" i="13" s="1"/>
  <c r="M68" i="13"/>
  <c r="D67" i="13" s="1"/>
  <c r="E67" i="13" s="1"/>
  <c r="D13" i="16"/>
  <c r="K54" i="16"/>
  <c r="C53" i="16" s="1"/>
  <c r="M54" i="16"/>
  <c r="D53" i="16" s="1"/>
  <c r="E53" i="16" s="1"/>
  <c r="E54" i="16" s="1"/>
  <c r="E55" i="16" s="1"/>
  <c r="B66" i="16"/>
  <c r="I65" i="16"/>
  <c r="M65" i="16" s="1"/>
  <c r="D63" i="16" s="1"/>
  <c r="M41" i="17"/>
  <c r="D41" i="17" s="1"/>
  <c r="K41" i="17"/>
  <c r="C41" i="17" s="1"/>
  <c r="E18" i="5"/>
  <c r="F18" i="5"/>
  <c r="E66" i="9"/>
  <c r="E67" i="9" s="1"/>
  <c r="E69" i="9" s="1"/>
  <c r="E35" i="11"/>
  <c r="E36" i="11" s="1"/>
  <c r="D42" i="12"/>
  <c r="E42" i="12" s="1"/>
  <c r="E34" i="13"/>
  <c r="E35" i="13" s="1"/>
  <c r="E37" i="13" s="1"/>
  <c r="G20" i="18"/>
  <c r="G17" i="17"/>
  <c r="F44" i="18"/>
  <c r="F39" i="16"/>
  <c r="F27" i="17"/>
  <c r="D31" i="17"/>
  <c r="E31" i="17" s="1"/>
  <c r="E55" i="9"/>
  <c r="E77" i="9"/>
  <c r="E78" i="9" s="1"/>
  <c r="E79" i="9" s="1"/>
  <c r="N79" i="9" s="1"/>
  <c r="C45" i="9"/>
  <c r="E45" i="9" s="1"/>
  <c r="E46" i="9" s="1"/>
  <c r="E47" i="9" s="1"/>
  <c r="N47" i="9" s="1"/>
  <c r="C33" i="2"/>
  <c r="D33" i="2"/>
  <c r="C23" i="2"/>
  <c r="D23" i="2"/>
  <c r="E56" i="13"/>
  <c r="E13" i="16"/>
  <c r="E14" i="16" s="1"/>
  <c r="E15" i="16" s="1"/>
  <c r="E48" i="18"/>
  <c r="N48" i="18" s="1"/>
  <c r="G30" i="18"/>
  <c r="F31" i="18"/>
  <c r="F32" i="18" s="1"/>
  <c r="G53" i="18"/>
  <c r="F54" i="18"/>
  <c r="F37" i="17"/>
  <c r="F47" i="17"/>
  <c r="I64" i="16"/>
  <c r="K64" i="16" s="1"/>
  <c r="C63" i="16" s="1"/>
  <c r="F59" i="16"/>
  <c r="G58" i="16"/>
  <c r="F33" i="14"/>
  <c r="G32" i="14"/>
  <c r="F86" i="13"/>
  <c r="G85" i="13"/>
  <c r="I80" i="13"/>
  <c r="M80" i="13" s="1"/>
  <c r="F19" i="16"/>
  <c r="G18" i="16"/>
  <c r="F21" i="14"/>
  <c r="G20" i="14"/>
  <c r="F19" i="13"/>
  <c r="G18" i="13"/>
  <c r="F19" i="12"/>
  <c r="G18" i="12"/>
  <c r="F31" i="11"/>
  <c r="G30" i="11"/>
  <c r="B27" i="18"/>
  <c r="I26" i="18"/>
  <c r="B40" i="18"/>
  <c r="I40" i="18" s="1"/>
  <c r="M40" i="18" s="1"/>
  <c r="D37" i="18" s="1"/>
  <c r="I38" i="18"/>
  <c r="K38" i="18" s="1"/>
  <c r="C37" i="18" s="1"/>
  <c r="B15" i="18"/>
  <c r="I14" i="18"/>
  <c r="K14" i="18" s="1"/>
  <c r="K13" i="17"/>
  <c r="C13" i="17" s="1"/>
  <c r="M13" i="17"/>
  <c r="D13" i="17" s="1"/>
  <c r="K23" i="17"/>
  <c r="M23" i="17"/>
  <c r="D22" i="17" s="1"/>
  <c r="N23" i="16"/>
  <c r="M8" i="16"/>
  <c r="B15" i="15"/>
  <c r="I14" i="15"/>
  <c r="K14" i="15" s="1"/>
  <c r="M11" i="2"/>
  <c r="K63" i="12"/>
  <c r="C62" i="12" s="1"/>
  <c r="M63" i="12"/>
  <c r="D62" i="12" s="1"/>
  <c r="B16" i="9"/>
  <c r="I15" i="9"/>
  <c r="K48" i="14"/>
  <c r="C47" i="14" s="1"/>
  <c r="M48" i="14"/>
  <c r="D47" i="14" s="1"/>
  <c r="I26" i="14"/>
  <c r="I39" i="14"/>
  <c r="M39" i="14" s="1"/>
  <c r="I38" i="14"/>
  <c r="I15" i="14"/>
  <c r="M15" i="14" s="1"/>
  <c r="D13" i="14" s="1"/>
  <c r="E13" i="14" s="1"/>
  <c r="E14" i="14" s="1"/>
  <c r="E15" i="14" s="1"/>
  <c r="E16" i="14" s="1"/>
  <c r="E17" i="14" s="1"/>
  <c r="N102" i="13"/>
  <c r="N101" i="13"/>
  <c r="I82" i="13"/>
  <c r="M82" i="13" s="1"/>
  <c r="I48" i="13"/>
  <c r="M48" i="13" s="1"/>
  <c r="D45" i="13" s="1"/>
  <c r="I46" i="13"/>
  <c r="K46" i="13" s="1"/>
  <c r="C45" i="13" s="1"/>
  <c r="I26" i="13"/>
  <c r="I24" i="13"/>
  <c r="I14" i="13"/>
  <c r="K14" i="13" s="1"/>
  <c r="C13" i="13" s="1"/>
  <c r="K34" i="12"/>
  <c r="C33" i="12" s="1"/>
  <c r="M34" i="12"/>
  <c r="D33" i="12" s="1"/>
  <c r="I14" i="12"/>
  <c r="K14" i="12" s="1"/>
  <c r="C13" i="12" s="1"/>
  <c r="I25" i="12"/>
  <c r="M25" i="12" s="1"/>
  <c r="I24" i="12"/>
  <c r="M26" i="9"/>
  <c r="D25" i="9" s="1"/>
  <c r="K26" i="9"/>
  <c r="C25" i="9" s="1"/>
  <c r="K25" i="11"/>
  <c r="C24" i="11" s="1"/>
  <c r="I56" i="11"/>
  <c r="M56" i="11" s="1"/>
  <c r="D54" i="11" s="1"/>
  <c r="E54" i="11" s="1"/>
  <c r="E55" i="11" s="1"/>
  <c r="E56" i="11" s="1"/>
  <c r="N44" i="11"/>
  <c r="N46" i="11"/>
  <c r="N45" i="11"/>
  <c r="J8" i="9"/>
  <c r="L21" i="2"/>
  <c r="L8" i="9"/>
  <c r="K10" i="2"/>
  <c r="K30" i="2"/>
  <c r="N12" i="2"/>
  <c r="N32" i="2"/>
  <c r="K11" i="2"/>
  <c r="K12" i="2"/>
  <c r="J10" i="2"/>
  <c r="J30" i="2"/>
  <c r="M10" i="2"/>
  <c r="M30" i="2"/>
  <c r="L10" i="2"/>
  <c r="J11" i="2"/>
  <c r="J31" i="2"/>
  <c r="N10" i="2"/>
  <c r="N30" i="2"/>
  <c r="N11" i="2"/>
  <c r="N31" i="2"/>
  <c r="G8" i="6"/>
  <c r="N20" i="2"/>
  <c r="M21" i="2"/>
  <c r="L11" i="2"/>
  <c r="J21" i="2"/>
  <c r="J20" i="2"/>
  <c r="N21" i="2"/>
  <c r="K20" i="2"/>
  <c r="L20" i="2"/>
  <c r="K21" i="2"/>
  <c r="K22" i="2"/>
  <c r="M20" i="2"/>
  <c r="N22" i="2"/>
  <c r="E63" i="16" l="1"/>
  <c r="E64" i="16" s="1"/>
  <c r="E65" i="16" s="1"/>
  <c r="D78" i="13"/>
  <c r="E24" i="11"/>
  <c r="E41" i="17"/>
  <c r="E42" i="17" s="1"/>
  <c r="E43" i="17" s="1"/>
  <c r="K38" i="14"/>
  <c r="C37" i="14" s="1"/>
  <c r="M38" i="14"/>
  <c r="D37" i="14" s="1"/>
  <c r="E37" i="14" s="1"/>
  <c r="E38" i="14" s="1"/>
  <c r="E39" i="14" s="1"/>
  <c r="C22" i="17"/>
  <c r="H4" i="12"/>
  <c r="F12" i="5" s="1"/>
  <c r="H4" i="11"/>
  <c r="F11" i="5" s="1"/>
  <c r="E33" i="16"/>
  <c r="B67" i="16"/>
  <c r="I67" i="16" s="1"/>
  <c r="I8" i="16" s="1"/>
  <c r="I66" i="16"/>
  <c r="H3" i="11"/>
  <c r="E11" i="5" s="1"/>
  <c r="H3" i="12"/>
  <c r="E12" i="5" s="1"/>
  <c r="E13" i="11"/>
  <c r="E43" i="16"/>
  <c r="H4" i="13"/>
  <c r="F14" i="5" s="1"/>
  <c r="E49" i="18"/>
  <c r="E50" i="18" s="1"/>
  <c r="N50" i="18" s="1"/>
  <c r="N35" i="11"/>
  <c r="E68" i="9"/>
  <c r="N68" i="9" s="1"/>
  <c r="K8" i="16"/>
  <c r="I3" i="16" s="1"/>
  <c r="N66" i="9"/>
  <c r="E36" i="13"/>
  <c r="N36" i="13" s="1"/>
  <c r="E32" i="17"/>
  <c r="E33" i="17" s="1"/>
  <c r="N33" i="17" s="1"/>
  <c r="N31" i="17"/>
  <c r="E25" i="9"/>
  <c r="E26" i="9" s="1"/>
  <c r="E27" i="9" s="1"/>
  <c r="E62" i="12"/>
  <c r="E63" i="12" s="1"/>
  <c r="N63" i="12" s="1"/>
  <c r="E47" i="14"/>
  <c r="E48" i="14" s="1"/>
  <c r="E56" i="9"/>
  <c r="E58" i="9" s="1"/>
  <c r="E57" i="9"/>
  <c r="N45" i="9"/>
  <c r="E25" i="11"/>
  <c r="E27" i="11" s="1"/>
  <c r="E26" i="11"/>
  <c r="E43" i="12"/>
  <c r="E45" i="12" s="1"/>
  <c r="E44" i="12"/>
  <c r="N44" i="12" s="1"/>
  <c r="E33" i="2"/>
  <c r="E34" i="2" s="1"/>
  <c r="E35" i="2" s="1"/>
  <c r="E23" i="2"/>
  <c r="E24" i="2" s="1"/>
  <c r="E25" i="2" s="1"/>
  <c r="N25" i="2" s="1"/>
  <c r="E68" i="13"/>
  <c r="E70" i="13" s="1"/>
  <c r="E69" i="13"/>
  <c r="E57" i="13"/>
  <c r="E59" i="13" s="1"/>
  <c r="E58" i="13"/>
  <c r="E45" i="13"/>
  <c r="G32" i="18"/>
  <c r="F33" i="18"/>
  <c r="I81" i="13"/>
  <c r="N35" i="9"/>
  <c r="N55" i="9"/>
  <c r="I27" i="18"/>
  <c r="M27" i="18" s="1"/>
  <c r="B28" i="18"/>
  <c r="M26" i="18"/>
  <c r="K26" i="18"/>
  <c r="C25" i="18" s="1"/>
  <c r="E37" i="18"/>
  <c r="C13" i="18"/>
  <c r="K8" i="18"/>
  <c r="B16" i="18"/>
  <c r="I15" i="18"/>
  <c r="M15" i="18" s="1"/>
  <c r="E13" i="17"/>
  <c r="E14" i="17" s="1"/>
  <c r="M8" i="17"/>
  <c r="K8" i="17"/>
  <c r="I8" i="17"/>
  <c r="N41" i="17"/>
  <c r="E66" i="16"/>
  <c r="N65" i="16"/>
  <c r="N53" i="16"/>
  <c r="N13" i="16"/>
  <c r="N63" i="16"/>
  <c r="N25" i="16"/>
  <c r="N24" i="16"/>
  <c r="C13" i="15"/>
  <c r="K8" i="15"/>
  <c r="B16" i="15"/>
  <c r="I15" i="15"/>
  <c r="M15" i="9"/>
  <c r="B17" i="9"/>
  <c r="I17" i="9" s="1"/>
  <c r="I16" i="9"/>
  <c r="H4" i="9" s="1"/>
  <c r="F10" i="5" s="1"/>
  <c r="M26" i="14"/>
  <c r="K26" i="14"/>
  <c r="I27" i="14"/>
  <c r="M27" i="14" s="1"/>
  <c r="I17" i="14"/>
  <c r="I16" i="14"/>
  <c r="N90" i="13"/>
  <c r="K81" i="13"/>
  <c r="C78" i="13" s="1"/>
  <c r="E78" i="13" s="1"/>
  <c r="E79" i="13" s="1"/>
  <c r="E80" i="13" s="1"/>
  <c r="E81" i="13" s="1"/>
  <c r="E82" i="13" s="1"/>
  <c r="N67" i="13"/>
  <c r="N100" i="13"/>
  <c r="I15" i="13"/>
  <c r="N56" i="13"/>
  <c r="N34" i="13"/>
  <c r="K24" i="13"/>
  <c r="C23" i="13" s="1"/>
  <c r="M24" i="13"/>
  <c r="D23" i="13" s="1"/>
  <c r="E33" i="12"/>
  <c r="E34" i="12" s="1"/>
  <c r="N42" i="12"/>
  <c r="I15" i="12"/>
  <c r="M24" i="12"/>
  <c r="D23" i="12" s="1"/>
  <c r="K24" i="12"/>
  <c r="C23" i="12" s="1"/>
  <c r="E54" i="12"/>
  <c r="N53" i="12"/>
  <c r="N64" i="11"/>
  <c r="E66" i="11"/>
  <c r="E67" i="11"/>
  <c r="N67" i="11" s="1"/>
  <c r="I8" i="11"/>
  <c r="K8" i="9"/>
  <c r="I3" i="9" s="1"/>
  <c r="K8" i="11"/>
  <c r="M8" i="11"/>
  <c r="N36" i="11"/>
  <c r="N24" i="11"/>
  <c r="N65" i="11"/>
  <c r="N78" i="9"/>
  <c r="N77" i="9"/>
  <c r="N46" i="9"/>
  <c r="N69" i="9"/>
  <c r="N67" i="9"/>
  <c r="L8" i="2"/>
  <c r="H4" i="2" s="1"/>
  <c r="J8" i="2"/>
  <c r="H3" i="2" s="1"/>
  <c r="J16" i="5" l="1"/>
  <c r="V16" i="5" s="1"/>
  <c r="J2" i="16"/>
  <c r="J3" i="16" s="1"/>
  <c r="H4" i="14"/>
  <c r="F15" i="5" s="1"/>
  <c r="M15" i="13"/>
  <c r="D13" i="13" s="1"/>
  <c r="E13" i="13" s="1"/>
  <c r="E14" i="13" s="1"/>
  <c r="E15" i="13" s="1"/>
  <c r="H3" i="13"/>
  <c r="E14" i="5" s="1"/>
  <c r="E44" i="16"/>
  <c r="N43" i="16"/>
  <c r="H4" i="16"/>
  <c r="F16" i="5" s="1"/>
  <c r="H3" i="16"/>
  <c r="E16" i="5" s="1"/>
  <c r="E34" i="16"/>
  <c r="N33" i="16"/>
  <c r="I8" i="9"/>
  <c r="J2" i="9" s="1"/>
  <c r="M17" i="9"/>
  <c r="M15" i="15"/>
  <c r="N13" i="11"/>
  <c r="E15" i="11"/>
  <c r="E14" i="11"/>
  <c r="H3" i="9"/>
  <c r="E10" i="5" s="1"/>
  <c r="D10" i="5" s="1"/>
  <c r="N32" i="17"/>
  <c r="N43" i="12"/>
  <c r="K16" i="5"/>
  <c r="E13" i="5"/>
  <c r="F13" i="5"/>
  <c r="N49" i="18"/>
  <c r="E23" i="13"/>
  <c r="E25" i="13" s="1"/>
  <c r="N25" i="13" s="1"/>
  <c r="N25" i="9"/>
  <c r="N33" i="12"/>
  <c r="N62" i="12"/>
  <c r="N13" i="17"/>
  <c r="I3" i="11"/>
  <c r="I3" i="18"/>
  <c r="I3" i="17"/>
  <c r="I3" i="15"/>
  <c r="J4" i="16"/>
  <c r="K10" i="5"/>
  <c r="I8" i="13"/>
  <c r="J14" i="5" s="1"/>
  <c r="V14" i="5" s="1"/>
  <c r="N26" i="11"/>
  <c r="E23" i="12"/>
  <c r="E24" i="12" s="1"/>
  <c r="E25" i="12" s="1"/>
  <c r="E46" i="13"/>
  <c r="E48" i="13" s="1"/>
  <c r="E47" i="13"/>
  <c r="N47" i="13" s="1"/>
  <c r="J2" i="17"/>
  <c r="J18" i="5"/>
  <c r="V18" i="5" s="1"/>
  <c r="N47" i="14"/>
  <c r="N24" i="2"/>
  <c r="N23" i="2"/>
  <c r="N37" i="9"/>
  <c r="N36" i="9"/>
  <c r="N56" i="9"/>
  <c r="B29" i="18"/>
  <c r="I29" i="18" s="1"/>
  <c r="H3" i="18" s="1"/>
  <c r="E19" i="5" s="1"/>
  <c r="I28" i="18"/>
  <c r="M28" i="18" s="1"/>
  <c r="E38" i="18"/>
  <c r="N37" i="18"/>
  <c r="E39" i="18"/>
  <c r="N39" i="18" s="1"/>
  <c r="I16" i="18"/>
  <c r="M16" i="18" s="1"/>
  <c r="D13" i="18" s="1"/>
  <c r="E13" i="18" s="1"/>
  <c r="B17" i="18"/>
  <c r="I17" i="18" s="1"/>
  <c r="E22" i="17"/>
  <c r="E23" i="17" s="1"/>
  <c r="N14" i="17"/>
  <c r="N43" i="17"/>
  <c r="N42" i="17"/>
  <c r="E67" i="16"/>
  <c r="N67" i="16" s="1"/>
  <c r="N66" i="16"/>
  <c r="N14" i="16"/>
  <c r="N64" i="16"/>
  <c r="N54" i="16"/>
  <c r="B17" i="15"/>
  <c r="I17" i="15" s="1"/>
  <c r="I16" i="15"/>
  <c r="H4" i="15" s="1"/>
  <c r="F17" i="5" s="1"/>
  <c r="J10" i="5"/>
  <c r="V10" i="5" s="1"/>
  <c r="D13" i="9"/>
  <c r="E13" i="9" s="1"/>
  <c r="M8" i="9"/>
  <c r="I29" i="14"/>
  <c r="I28" i="14"/>
  <c r="H3" i="14" s="1"/>
  <c r="E15" i="5" s="1"/>
  <c r="N48" i="14"/>
  <c r="N13" i="14"/>
  <c r="N37" i="14"/>
  <c r="N92" i="13"/>
  <c r="N91" i="13"/>
  <c r="N79" i="13"/>
  <c r="N68" i="13"/>
  <c r="N57" i="13"/>
  <c r="M8" i="13"/>
  <c r="N37" i="13"/>
  <c r="N35" i="13"/>
  <c r="N45" i="13"/>
  <c r="K8" i="13"/>
  <c r="N45" i="12"/>
  <c r="K8" i="12"/>
  <c r="I3" i="12" s="1"/>
  <c r="I8" i="12"/>
  <c r="N34" i="12"/>
  <c r="N54" i="12"/>
  <c r="M15" i="12"/>
  <c r="D13" i="12" s="1"/>
  <c r="E13" i="12" s="1"/>
  <c r="E14" i="12" s="1"/>
  <c r="E15" i="12" s="1"/>
  <c r="E68" i="11"/>
  <c r="N68" i="11" s="1"/>
  <c r="N66" i="11"/>
  <c r="N54" i="11"/>
  <c r="J2" i="11"/>
  <c r="J11" i="5"/>
  <c r="V11" i="5" s="1"/>
  <c r="N15" i="11"/>
  <c r="N27" i="11"/>
  <c r="N25" i="11"/>
  <c r="N33" i="2"/>
  <c r="N27" i="9"/>
  <c r="N26" i="9"/>
  <c r="E35" i="16" l="1"/>
  <c r="N35" i="16" s="1"/>
  <c r="N34" i="16"/>
  <c r="E45" i="16"/>
  <c r="N45" i="16" s="1"/>
  <c r="N44" i="16"/>
  <c r="I8" i="15"/>
  <c r="M16" i="15"/>
  <c r="E16" i="11"/>
  <c r="N16" i="11" s="1"/>
  <c r="N14" i="11"/>
  <c r="H3" i="15"/>
  <c r="E17" i="5" s="1"/>
  <c r="H4" i="18"/>
  <c r="F19" i="5" s="1"/>
  <c r="K17" i="5"/>
  <c r="K18" i="5"/>
  <c r="K19" i="5"/>
  <c r="K11" i="5"/>
  <c r="E24" i="13"/>
  <c r="E26" i="13" s="1"/>
  <c r="J2" i="13"/>
  <c r="J4" i="13" s="1"/>
  <c r="N22" i="17"/>
  <c r="J4" i="11"/>
  <c r="J3" i="11"/>
  <c r="J4" i="17"/>
  <c r="J3" i="17"/>
  <c r="J4" i="9"/>
  <c r="J3" i="9"/>
  <c r="I3" i="13"/>
  <c r="K12" i="5"/>
  <c r="D25" i="18"/>
  <c r="E25" i="18" s="1"/>
  <c r="I8" i="14"/>
  <c r="J15" i="5" s="1"/>
  <c r="V15" i="5" s="1"/>
  <c r="M8" i="18"/>
  <c r="J2" i="15"/>
  <c r="J17" i="5"/>
  <c r="V17" i="5" s="1"/>
  <c r="N82" i="13"/>
  <c r="N58" i="9"/>
  <c r="N57" i="9"/>
  <c r="I8" i="18"/>
  <c r="E40" i="18"/>
  <c r="N40" i="18" s="1"/>
  <c r="N38" i="18"/>
  <c r="E14" i="18"/>
  <c r="N13" i="18"/>
  <c r="N23" i="17"/>
  <c r="N55" i="16"/>
  <c r="N15" i="16"/>
  <c r="N13" i="9"/>
  <c r="E14" i="9"/>
  <c r="M28" i="14"/>
  <c r="D25" i="14" s="1"/>
  <c r="K28" i="14"/>
  <c r="C25" i="14" s="1"/>
  <c r="N39" i="14"/>
  <c r="N38" i="14"/>
  <c r="N14" i="14"/>
  <c r="N78" i="13"/>
  <c r="N80" i="13"/>
  <c r="N70" i="13"/>
  <c r="N69" i="13"/>
  <c r="N23" i="13"/>
  <c r="N13" i="13"/>
  <c r="N48" i="13"/>
  <c r="N46" i="13"/>
  <c r="N59" i="13"/>
  <c r="N58" i="13"/>
  <c r="J2" i="12"/>
  <c r="J12" i="5"/>
  <c r="V12" i="5" s="1"/>
  <c r="M8" i="12"/>
  <c r="N23" i="12"/>
  <c r="N55" i="11"/>
  <c r="N35" i="2"/>
  <c r="N34" i="2"/>
  <c r="D13" i="15" l="1"/>
  <c r="E13" i="15" s="1"/>
  <c r="M8" i="15"/>
  <c r="K14" i="5"/>
  <c r="J3" i="13"/>
  <c r="J4" i="12"/>
  <c r="J3" i="12"/>
  <c r="J4" i="15"/>
  <c r="J3" i="15"/>
  <c r="E26" i="18"/>
  <c r="N26" i="18" s="1"/>
  <c r="N25" i="18"/>
  <c r="E25" i="14"/>
  <c r="E26" i="14" s="1"/>
  <c r="E27" i="14" s="1"/>
  <c r="E28" i="14" s="1"/>
  <c r="E29" i="14" s="1"/>
  <c r="J2" i="14"/>
  <c r="J2" i="18"/>
  <c r="J19" i="5"/>
  <c r="V19" i="5" s="1"/>
  <c r="E15" i="18"/>
  <c r="N14" i="18"/>
  <c r="N8" i="16"/>
  <c r="I4" i="16" s="1"/>
  <c r="N14" i="9"/>
  <c r="E15" i="9"/>
  <c r="K8" i="14"/>
  <c r="M8" i="14"/>
  <c r="N15" i="14"/>
  <c r="N81" i="13"/>
  <c r="N26" i="13"/>
  <c r="N24" i="13"/>
  <c r="N14" i="13"/>
  <c r="N25" i="12"/>
  <c r="N24" i="12"/>
  <c r="N13" i="12"/>
  <c r="N56" i="11"/>
  <c r="N8" i="11" s="1"/>
  <c r="E14" i="15" l="1"/>
  <c r="N13" i="15"/>
  <c r="E27" i="18"/>
  <c r="N27" i="18" s="1"/>
  <c r="I4" i="11"/>
  <c r="J4" i="18"/>
  <c r="J3" i="18"/>
  <c r="J4" i="14"/>
  <c r="J3" i="14"/>
  <c r="I3" i="14"/>
  <c r="I2" i="16"/>
  <c r="E16" i="18"/>
  <c r="N15" i="18"/>
  <c r="N8" i="17"/>
  <c r="I4" i="17" s="1"/>
  <c r="N15" i="9"/>
  <c r="E16" i="9"/>
  <c r="N17" i="14"/>
  <c r="N16" i="14"/>
  <c r="N15" i="13"/>
  <c r="N14" i="12"/>
  <c r="E15" i="15" l="1"/>
  <c r="N14" i="15"/>
  <c r="K15" i="5"/>
  <c r="I2" i="11"/>
  <c r="E28" i="18"/>
  <c r="N28" i="18" s="1"/>
  <c r="I2" i="17"/>
  <c r="E29" i="18"/>
  <c r="N29" i="18" s="1"/>
  <c r="E17" i="18"/>
  <c r="N17" i="18" s="1"/>
  <c r="N16" i="18"/>
  <c r="E17" i="9"/>
  <c r="N17" i="9" s="1"/>
  <c r="N16" i="9"/>
  <c r="N25" i="14"/>
  <c r="N15" i="12"/>
  <c r="E16" i="15" l="1"/>
  <c r="N15" i="15"/>
  <c r="AC16" i="5"/>
  <c r="C27" i="24" s="1"/>
  <c r="N8" i="9"/>
  <c r="I4" i="9" s="1"/>
  <c r="N8" i="18"/>
  <c r="I4" i="18" s="1"/>
  <c r="N26" i="14"/>
  <c r="N8" i="13"/>
  <c r="I4" i="13" s="1"/>
  <c r="N8" i="12"/>
  <c r="I4" i="12" s="1"/>
  <c r="E17" i="15" l="1"/>
  <c r="N17" i="15" s="1"/>
  <c r="N16" i="15"/>
  <c r="N8" i="15" s="1"/>
  <c r="I4" i="15" s="1"/>
  <c r="I2" i="15" s="1"/>
  <c r="AC11" i="5"/>
  <c r="C12" i="24" s="1"/>
  <c r="AC18" i="5"/>
  <c r="C33" i="24" s="1"/>
  <c r="I2" i="9"/>
  <c r="I2" i="18"/>
  <c r="I2" i="13"/>
  <c r="N27" i="14"/>
  <c r="I2" i="12"/>
  <c r="W10" i="5" l="1"/>
  <c r="N29" i="14"/>
  <c r="N28" i="14"/>
  <c r="AC12" i="5" l="1"/>
  <c r="C15" i="24" s="1"/>
  <c r="AC14" i="5"/>
  <c r="C21" i="24" s="1"/>
  <c r="AC19" i="5"/>
  <c r="C36" i="24" s="1"/>
  <c r="AC17" i="5"/>
  <c r="C30" i="24" s="1"/>
  <c r="AC10" i="5"/>
  <c r="C9" i="24" s="1"/>
  <c r="N8" i="14"/>
  <c r="I4" i="14" s="1"/>
  <c r="I2" i="14" l="1"/>
  <c r="J2" i="2" l="1"/>
  <c r="M13" i="2"/>
  <c r="D13" i="2" s="1"/>
  <c r="K14" i="2"/>
  <c r="C13" i="2" s="1"/>
  <c r="AC15" i="5" l="1"/>
  <c r="C24" i="24" s="1"/>
  <c r="J4" i="2"/>
  <c r="J3" i="2"/>
  <c r="K8" i="2"/>
  <c r="E13" i="2"/>
  <c r="E14" i="2" s="1"/>
  <c r="E15" i="2" s="1"/>
  <c r="M8" i="2"/>
  <c r="I3" i="2" l="1"/>
  <c r="N15" i="2"/>
  <c r="N14" i="2"/>
  <c r="N13" i="2"/>
  <c r="K13" i="5" l="1"/>
  <c r="K8" i="5" s="1"/>
  <c r="N8" i="2"/>
  <c r="I4" i="2" s="1"/>
  <c r="E21" i="5" l="1"/>
  <c r="D21" i="5"/>
  <c r="F22" i="5"/>
  <c r="E22" i="5"/>
  <c r="F21" i="5"/>
  <c r="I2" i="2"/>
  <c r="O8" i="5" l="1"/>
  <c r="D22" i="5" l="1"/>
  <c r="G21" i="5"/>
  <c r="I21" i="5" s="1"/>
  <c r="B8" i="5" s="1"/>
  <c r="AC13" i="5"/>
  <c r="AC8" i="5" l="1"/>
  <c r="G22" i="5" s="1"/>
  <c r="I22" i="5" s="1"/>
  <c r="C18" i="24"/>
  <c r="C8" i="24" s="1"/>
  <c r="C41" i="24" s="1"/>
  <c r="C42" i="24" s="1"/>
  <c r="G23" i="9"/>
  <c r="AC21" i="5" l="1"/>
  <c r="F23" i="9"/>
  <c r="F24" i="9" s="1"/>
  <c r="F25" i="9" s="1"/>
  <c r="F26" i="9" s="1"/>
  <c r="F27" i="9" s="1"/>
  <c r="F28" i="9" s="1"/>
  <c r="F29" i="9" l="1"/>
  <c r="F30" i="9" s="1"/>
  <c r="F31" i="9" s="1"/>
  <c r="G28" i="9"/>
  <c r="G20" i="9"/>
  <c r="G18" i="9"/>
  <c r="G30" i="9" l="1"/>
</calcChain>
</file>

<file path=xl/sharedStrings.xml><?xml version="1.0" encoding="utf-8"?>
<sst xmlns="http://schemas.openxmlformats.org/spreadsheetml/2006/main" count="1038" uniqueCount="314">
  <si>
    <t>Aditivní výroba a 3D tisk</t>
  </si>
  <si>
    <t>B</t>
  </si>
  <si>
    <t>C</t>
  </si>
  <si>
    <t>Integrační vrstva  - Aditivní terchnologie</t>
  </si>
  <si>
    <t>3D tisk - prototyp</t>
  </si>
  <si>
    <t>Využíváte 3D tisk při vzniku prototypu výrobku?</t>
  </si>
  <si>
    <t>a.</t>
  </si>
  <si>
    <t>Ne</t>
  </si>
  <si>
    <t>b.</t>
  </si>
  <si>
    <t>Ano - pro část sortimentu vývoje vlastních dílů</t>
  </si>
  <si>
    <t>c.</t>
  </si>
  <si>
    <t>Ano - pro celý sortiment vývoje vlastních dílů</t>
  </si>
  <si>
    <t>Využíváte 3D tisk při finální výrobě?</t>
  </si>
  <si>
    <t>Ano - pro část sortimentu výroby vlastních výrobků</t>
  </si>
  <si>
    <t>Ano - pro celý sortiment výroby vlastních výrobků</t>
  </si>
  <si>
    <t>Ano - částečně pokrýváme své potřeby</t>
  </si>
  <si>
    <t>Ano - plně pokrýváme své potřeby</t>
  </si>
  <si>
    <t>B-C</t>
  </si>
  <si>
    <t>Podrobně popište současný stav:</t>
  </si>
  <si>
    <t>Podrobně popište plánovaný stav:</t>
  </si>
  <si>
    <t xml:space="preserve">3D tisk - finální výrobek </t>
  </si>
  <si>
    <t>Registrační číslo žádosti:</t>
  </si>
  <si>
    <t>Název žadatele:</t>
  </si>
  <si>
    <t>Maximum</t>
  </si>
  <si>
    <t>Současnost</t>
  </si>
  <si>
    <t>Pokrok</t>
  </si>
  <si>
    <t>(část B)</t>
  </si>
  <si>
    <t>(část C)</t>
  </si>
  <si>
    <t>v bodovém intervalu od 0 včetně do 13</t>
  </si>
  <si>
    <t>&lt;</t>
  </si>
  <si>
    <t>)</t>
  </si>
  <si>
    <t>NEVYHOVĚL</t>
  </si>
  <si>
    <t>Podmínka 02:</t>
  </si>
  <si>
    <t>&gt;=</t>
  </si>
  <si>
    <t>Podmínka 03:</t>
  </si>
  <si>
    <t>&gt;</t>
  </si>
  <si>
    <t>(</t>
  </si>
  <si>
    <t>Kritérium</t>
  </si>
  <si>
    <t>Vrstva dle RAMI-IV</t>
  </si>
  <si>
    <t>výrobní</t>
  </si>
  <si>
    <t>nevýrobní</t>
  </si>
  <si>
    <t>11.</t>
  </si>
  <si>
    <t>0.</t>
  </si>
  <si>
    <t>Hodnocení rozpočtu</t>
  </si>
  <si>
    <t>Počet</t>
  </si>
  <si>
    <t>Cena</t>
  </si>
  <si>
    <t>Zařazení technologie</t>
  </si>
  <si>
    <t>MJ</t>
  </si>
  <si>
    <t>za MJ</t>
  </si>
  <si>
    <t>za Počet MJ</t>
  </si>
  <si>
    <t>[ks]</t>
  </si>
  <si>
    <t>[CZK]</t>
  </si>
  <si>
    <t xml:space="preserve"> / </t>
  </si>
  <si>
    <t>Rozpočet celkem</t>
  </si>
  <si>
    <t>Rozpočet výrobní technologie</t>
  </si>
  <si>
    <t>Rozpočet nevýrobní technologie</t>
  </si>
  <si>
    <t>Kontrola způsobilých výdajů</t>
  </si>
  <si>
    <t>Krácení způsobilých výdajů</t>
  </si>
  <si>
    <t>položka 01 - příklad</t>
  </si>
  <si>
    <t xml:space="preserve">1. </t>
  </si>
  <si>
    <t>položka</t>
  </si>
  <si>
    <t>1.</t>
  </si>
  <si>
    <t>V digitální podobě se zasláním přímo do měřicího zařízení</t>
  </si>
  <si>
    <t>V digitální podobě se zobrazením na terminálech operátora</t>
  </si>
  <si>
    <t>Ústním sdělením / V papírové podobě</t>
  </si>
  <si>
    <t>Jakým způsobem předáváte operátorům informace o plánovaných kontrolách kvality?</t>
  </si>
  <si>
    <t>Výstupy ze systému</t>
  </si>
  <si>
    <t>Systém dle ČSN ISO (např. 9001…)</t>
  </si>
  <si>
    <t>d.</t>
  </si>
  <si>
    <t>MIS systém</t>
  </si>
  <si>
    <t>ERP / MES systém</t>
  </si>
  <si>
    <t>Žádný / Papírová forma / Jednoduché softwarové nástroje (např. Excel) / Jednoduchý účetní systém</t>
  </si>
  <si>
    <t>Jaký používáte systém pro řízení kvality?</t>
  </si>
  <si>
    <t>Systém na řízení kvality</t>
  </si>
  <si>
    <t>Jednoduchý účetní systém / Jednoduché softwarové nástroje (např. Excel)</t>
  </si>
  <si>
    <t>Žádný / Papírová forma</t>
  </si>
  <si>
    <t>Jaké nástroje využíváte k analýze naplňování plánu? (reporting a Business Inteligence)</t>
  </si>
  <si>
    <t>Zpětná vazba o naplňování plánu</t>
  </si>
  <si>
    <t>Online - z monitoringu strojů</t>
  </si>
  <si>
    <t>Semionline - z terminálu (např. ruční čtečkou čárových kódů...)</t>
  </si>
  <si>
    <t>Offline - ústním sdělením / Offline - papírovou evidencí</t>
  </si>
  <si>
    <t>Jakou máte zpětnou vazbu o naplňování výrobního plánu?</t>
  </si>
  <si>
    <t xml:space="preserve">Zpětná vazba o naplňování plánu </t>
  </si>
  <si>
    <t>Digitální dokumentace - generování výrobní dokumentace pro celou výrobu</t>
  </si>
  <si>
    <t>Digitální dokumentace - generování výrobní dokumentace pro část výroby</t>
  </si>
  <si>
    <t>Jakým způsobem je řešen výstup z plánovacího systému?</t>
  </si>
  <si>
    <t>Výstup z plánovacího systému</t>
  </si>
  <si>
    <t>Simulace efektivnější výroby, výrobku, kapacitní plánování v celém výrobním procesu (např. PowerMill, MKP, MatLab...)</t>
  </si>
  <si>
    <t>Software pro přípravu výroby (např. CAD / CAM)</t>
  </si>
  <si>
    <t>Jaké nástroje používáte pro technickou přípravu výroby?</t>
  </si>
  <si>
    <t>Plánování výroby</t>
  </si>
  <si>
    <t>Systémy APS, MIS, BI, B2B apod.</t>
  </si>
  <si>
    <t>e.</t>
  </si>
  <si>
    <t>MES systém</t>
  </si>
  <si>
    <t>ERP systém</t>
  </si>
  <si>
    <t>Jaký systém používáte pro plánování výroby?</t>
  </si>
  <si>
    <t>Integrační vrstva - plánování výroby</t>
  </si>
  <si>
    <t>Využíváte k výrobě stroje a zařízení využívající aditivní technologie?</t>
  </si>
  <si>
    <t xml:space="preserve">Zpracování materiálů a výroba za použití aditivních technologií </t>
  </si>
  <si>
    <t>4.</t>
  </si>
  <si>
    <t>Využíváme pro online automatickou optimalizaci procesu</t>
  </si>
  <si>
    <t>Využíváme pro online automatické zastavení (hlášení chyby ze systémů a automatické odstavení procesů)</t>
  </si>
  <si>
    <t>Využíváme - online bez automatického zastavení procesu (hlášení chyby ze systémů a po kvitaci pokračování ve výrobě)</t>
  </si>
  <si>
    <t>Využíváme pro offline řízení a optimalizaci procesu (na úrovni operátor / mistr)</t>
  </si>
  <si>
    <t>Nevyužíváme</t>
  </si>
  <si>
    <t>Jak využíváte získaná data pro automatické řízení a optimalizaci výrobního procesu?</t>
  </si>
  <si>
    <t>Využití získaných dat pro automatické řízení a optimalizaci výrobního procesu</t>
  </si>
  <si>
    <t>V digitální podobě se zasláním přímo z měřicího zařízení</t>
  </si>
  <si>
    <t>Zápisem v digitální podobě na terminálech</t>
  </si>
  <si>
    <t>Ústním sdělením / Zápisem v papírové podobě</t>
  </si>
  <si>
    <t>Jakým způsobem předávají operátoři informace o výsledcích provedených kontrol?</t>
  </si>
  <si>
    <t>Záznamy o výsledcích kontrol</t>
  </si>
  <si>
    <t>Využíváme - online monitoringem strojů</t>
  </si>
  <si>
    <t>Využíváme - semionline ručním terminálem</t>
  </si>
  <si>
    <t>Nevyužíváme / Využíváme - papírovou evidencí</t>
  </si>
  <si>
    <t>Využíváte systém ke zpětné dosledovatelnosti (tzv. traceability) způsobu výroby daného výrobku?</t>
  </si>
  <si>
    <t>Traceability</t>
  </si>
  <si>
    <t>Sledujeme - elektronicky online přihlášením operátorů</t>
  </si>
  <si>
    <t>Nesledujeme / Sledujeme - papírovou evidencí</t>
  </si>
  <si>
    <t>Jakým způsobem sledujete přítomnost operátorů na pracovišti? (efektivita vs. bezpečnost)</t>
  </si>
  <si>
    <t>Přítomnost operátorů na pracovišti</t>
  </si>
  <si>
    <t>Online - z monitoringu strojů s přenosem na DCS / MES / ERP...</t>
  </si>
  <si>
    <t>Online - z monitoringu strojů na panelu operátora</t>
  </si>
  <si>
    <t>Semionline  (např. ruční čtečkou čárových kódů)</t>
  </si>
  <si>
    <t>Jakým způsobem sledujete stav zakázek?</t>
  </si>
  <si>
    <t>Sledování stavu zakázek</t>
  </si>
  <si>
    <t>Online - z monitoringu strojů s přenosem na DCS / MES / ERP / ...</t>
  </si>
  <si>
    <t>Nesledujeme / Offline - papírovou evidencí</t>
  </si>
  <si>
    <t>Sledujete a jakým způsobem vyhodnocujete stav a využití strojů?</t>
  </si>
  <si>
    <t>Sledování stavu a efektivity využití strojů</t>
  </si>
  <si>
    <t>Integrační vrstva - výrobní zdroje</t>
  </si>
  <si>
    <t>2.</t>
  </si>
  <si>
    <t>3.</t>
  </si>
  <si>
    <t>Integrační vrstva  - CAD/CAM</t>
  </si>
  <si>
    <t>CAD systém</t>
  </si>
  <si>
    <t>Využíváte v procesu vývoje a designu výrobku CAD systém?</t>
  </si>
  <si>
    <t>Ano - částečně (žadatel nevyužívá všechny potřebné licence pro odpovědné pracovníky)</t>
  </si>
  <si>
    <t>Ano - plně (žadatel využívá všechny potřebné licence pro odpovědné pracovníky)</t>
  </si>
  <si>
    <t>CAM systém a propojení s technickou přípravou výroby</t>
  </si>
  <si>
    <t>Jaké pracoviště využívá CAM systém pro technickou přípravu výroby?</t>
  </si>
  <si>
    <t>Žádné</t>
  </si>
  <si>
    <t>Ano - v rámci výrobní buňky</t>
  </si>
  <si>
    <t>Ano - v rámci všech procesů a systémů</t>
  </si>
  <si>
    <t>Rozšířená, virtuální realita (3D brýle)</t>
  </si>
  <si>
    <t>Využíváte v procesu vývoje a designu nového výrobku rozšířenou nebo virtuální realitu?</t>
  </si>
  <si>
    <t>Ano</t>
  </si>
  <si>
    <t>Nevyužívá</t>
  </si>
  <si>
    <t>Nevyužívá, ale je vybudována relevantní infrastruktura umožňující používat digitální dvojče</t>
  </si>
  <si>
    <t>Využívá základních parametrů produktu pro simulaci technologických postupů při výrobě a inovacích</t>
  </si>
  <si>
    <t>Využívá veškerých parametrů produktu pro simulaci využití nových obchodních modelů žadatele</t>
  </si>
  <si>
    <t>Virtuální obraz, digitální dvojče</t>
  </si>
  <si>
    <t>Využíváte v procesu vývoje a designu nového výrobku virtuální obraz či digitální dvojče?</t>
  </si>
  <si>
    <t>Life Cycle Management</t>
  </si>
  <si>
    <t>Využíváte v procesu řízení životního cyklu výrobku PLM systém?</t>
  </si>
  <si>
    <t>Integrace systému PLM do digitálního dvojčete</t>
  </si>
  <si>
    <t>Jsou informace o celém životním cyklu integrovány do digitálního dvojčete?</t>
  </si>
  <si>
    <t>5.</t>
  </si>
  <si>
    <t>Integrační a fyzická vrstva - systémová</t>
  </si>
  <si>
    <t>Identifikace nástrojů - inventarizace</t>
  </si>
  <si>
    <t>Používáte některá řešení identifikace nástrojů? Pokud ano, jaká?</t>
  </si>
  <si>
    <t>Ne / Papírová dokumentace / Identifikace od dodavatele</t>
  </si>
  <si>
    <t>Čárový kód (např. čárový, QR...)</t>
  </si>
  <si>
    <t>Elektronická komunikace (např. RFID, NFC)</t>
  </si>
  <si>
    <t>Identifikace strojů - inventarizace</t>
  </si>
  <si>
    <t>Používáte některá řešení identifikace strojů? Pokud ano, jaké?</t>
  </si>
  <si>
    <t>Ne / Papírová dokumentace</t>
  </si>
  <si>
    <t>Aktivní prvky IoT</t>
  </si>
  <si>
    <t>Identifikace výrobků - inventarizace</t>
  </si>
  <si>
    <t>Používáte některá řešení identifikace výrobku? Pokud ano, jaké?</t>
  </si>
  <si>
    <t>Komunikace mezi strojem a nástrojem</t>
  </si>
  <si>
    <t>Existuje vzájemná komunikace mezi strojem a nástrojem?</t>
  </si>
  <si>
    <t>Ano - s nutnou asistencí operátora (např. načtením čárových/RFID kódů operátorem...)</t>
  </si>
  <si>
    <t>Ano - on-line automaticky (např. načtením čárových/RFID kódů...)</t>
  </si>
  <si>
    <t>Komunikace mezi strojem a výrobkem</t>
  </si>
  <si>
    <t>Existuje vzájemná komunikace mezi strojem a výrobkem?</t>
  </si>
  <si>
    <t>Způsob komunikace</t>
  </si>
  <si>
    <t>Jaká  je komunikace mezi prvky systému?</t>
  </si>
  <si>
    <t>Žádná / Offline (přenosné medium)</t>
  </si>
  <si>
    <t>Online jednosměrná (ethernet, wifi)</t>
  </si>
  <si>
    <t xml:space="preserve">Online obousměrná (ethernet, wifi) </t>
  </si>
  <si>
    <t>Online obousměrná  (optika)</t>
  </si>
  <si>
    <t>Komunikační protokoly</t>
  </si>
  <si>
    <t>Jaké komunikační protokoly při komunikaci mezi prvky systému využíváte?</t>
  </si>
  <si>
    <t>Jednoduchá komunikace (např. RS232/422/485, LAN...)</t>
  </si>
  <si>
    <t>Fieldbus (např. Modbus, CanBus...)</t>
  </si>
  <si>
    <t>Převodníky a servery pro komunikaci mezi systémy řízení a MES / ERP (např. ODBC...)</t>
  </si>
  <si>
    <t>Standardizované převodníky pro propojitelnost různých systémů (např. OPC, OPC UA...)</t>
  </si>
  <si>
    <t>Výrobek IoT</t>
  </si>
  <si>
    <t>Jsou výstupem projektu výrobky s implementovanou konektivitou v rámci IoT sítě,
vytvořené  pouze pro potřebu žadatele?</t>
  </si>
  <si>
    <t>Ano - již nyní vyrábíme své vlastní výrobky s aktivním prvkem a konektivitou IoT</t>
  </si>
  <si>
    <t>Ano - již v rámci projektu budeme vyrábět své vlastní další nové výrobky s aktivním prvkem a konektivitou IoT</t>
  </si>
  <si>
    <t>Jsou výstupem projektu výrobky s implementovanou konektivitou v rámci IoT komerční sítě?
(provozovatelé např. T-Mobile, České Radiokomunikace, SimpleCell…)</t>
  </si>
  <si>
    <t>Integrační a Informační vrstva - údržba a poruchy</t>
  </si>
  <si>
    <t>6.</t>
  </si>
  <si>
    <t>Evidence poruch</t>
  </si>
  <si>
    <t>Vedete evidenci poruch a spotřeby náhradních dílů?</t>
  </si>
  <si>
    <t>Ne / Ano, v papírové podobě</t>
  </si>
  <si>
    <t>Ano, v jednoduché elektronické podobě (např. Excel, jednoduchý účetní systém…)</t>
  </si>
  <si>
    <t>Ano - na úrovni stroje</t>
  </si>
  <si>
    <t>Ano - součástí ERP / MES systému</t>
  </si>
  <si>
    <t>Ano - v CMMS / jiný SW s využitím vlastních programových algoritmů / Za pomocí aktivních prvků IoT</t>
  </si>
  <si>
    <t>Predikce opakování poruch</t>
  </si>
  <si>
    <t>Vyhodnocujete historii poruch a spotřeby náhradních dílů pro predikci jejich opakování a jejich budoucí spotřeby?</t>
  </si>
  <si>
    <t>Monitoring technického stavu strojů</t>
  </si>
  <si>
    <t>Provádíte monitoring technického stavu strojů? Jak?</t>
  </si>
  <si>
    <t>Ne / Ano, diagnostika offline / Úsudkem odpovědného pracovníka</t>
  </si>
  <si>
    <t>Ano - diagnostika online</t>
  </si>
  <si>
    <t>Za pomocí aktivních prvků IoT</t>
  </si>
  <si>
    <t>Predikce nežádoucích změn technického stavu</t>
  </si>
  <si>
    <t>Vyhodnocujete technická data o technickém stavu strojů pro predikci nežádoucích změn jejich stavu?</t>
  </si>
  <si>
    <t>Ne / Ano - lidským úsudkem bez využití programových algoritmů</t>
  </si>
  <si>
    <t>Ano - predikce v reálném čase, autonomně</t>
  </si>
  <si>
    <t xml:space="preserve">Statistické hodnocení stability a způsobilosti procesů, strojů, využívání matematických metod </t>
  </si>
  <si>
    <t>Jak provádíte statistické hodnocení stability a způsobilosti procesů?</t>
  </si>
  <si>
    <t>Neprovádíme</t>
  </si>
  <si>
    <t>Offline papírovou evidencí hodnot sledovaných veličin</t>
  </si>
  <si>
    <t>Online záznamem na terminálu (lokálně u stroje)</t>
  </si>
  <si>
    <t>Online monitoringem sledovaných veličin včetně přenosu do IS</t>
  </si>
  <si>
    <t>S využitím systémů, které využívají BigData
(např. SPC, DataMining, DataMachineLerning, korelační analýzu, MatLab...)</t>
  </si>
  <si>
    <t>7.</t>
  </si>
  <si>
    <t>Systémy využívající BigData</t>
  </si>
  <si>
    <t>8.</t>
  </si>
  <si>
    <t>Informační - BigData</t>
  </si>
  <si>
    <t>Robotizace výrobních procesů a toků materiálu</t>
  </si>
  <si>
    <t>Integrační a fyzická vrstva - robotizace</t>
  </si>
  <si>
    <t>Robotizace a manipulace</t>
  </si>
  <si>
    <t>V jaké části provozu jsou využívány roboty pro obsluhu strojů?</t>
  </si>
  <si>
    <t>Nikde</t>
  </si>
  <si>
    <t>V rámci výrobní buňky</t>
  </si>
  <si>
    <t>V rámci celé výroby</t>
  </si>
  <si>
    <t>Robotizace pro manipulaci a skladování (materiálů či nástrojů)</t>
  </si>
  <si>
    <t>V jaké části provozu jsou využívány roboty pro skladování a manipulaci?</t>
  </si>
  <si>
    <t>Jaký typ robotů využíváte pro skladování a manipulaci?</t>
  </si>
  <si>
    <t>Žádný</t>
  </si>
  <si>
    <t>Roboty, které mají oddělenou dopravní infrastrukturu bez schopnosti rozpoznávat překážky a měnit trasu</t>
  </si>
  <si>
    <t>Roboty, které  jsou na cestě po provozu schopny  v reálném čase rozpoznávat překážky a měnit trasu</t>
  </si>
  <si>
    <t>Výrobní roboty</t>
  </si>
  <si>
    <t>V jaké části provozu jsou využívány roboty pro výrobu?</t>
  </si>
  <si>
    <t xml:space="preserve">V rámci výrobní buňky (např. automatický zásobník nástrojů) </t>
  </si>
  <si>
    <t>Inteligentní skladový systém WMS</t>
  </si>
  <si>
    <t>Využíváte inteligentní (fyzický) skladovací systém pro přípravu, přepravu materiálu nebo
skladování polotovarů a výrobků?</t>
  </si>
  <si>
    <t>Ano - pouze v rámci skladového prostoru</t>
  </si>
  <si>
    <t>Ano - automatická přeprava mezi skladem a výrobou</t>
  </si>
  <si>
    <t>7.6</t>
  </si>
  <si>
    <t>Jaký SW využíváte pro skladovací systém?</t>
  </si>
  <si>
    <t>Žádný / Pouze v papírové podobě</t>
  </si>
  <si>
    <t>Pomocí tabulkového procesoru (např. Excel…)</t>
  </si>
  <si>
    <t>Jednoduchý účetní systém</t>
  </si>
  <si>
    <t>Součástí ERP / MES systému</t>
  </si>
  <si>
    <t>Speciální plně automatizovaný systém WMS (SW i HW, nelze uvažovat jen modul "Sklad" v IS)</t>
  </si>
  <si>
    <t>9.</t>
  </si>
  <si>
    <t>Informační - AI</t>
  </si>
  <si>
    <t>Využití algoritmů umělé inteligence pro optimalizaci procesu vývoje</t>
  </si>
  <si>
    <t>Využívaté AI pro eliminaci již zaznamenaných chyb při vývoji produktu?</t>
  </si>
  <si>
    <t xml:space="preserve">Ano </t>
  </si>
  <si>
    <t>Využití algoritmů umělé inteligence pro optimalizaci plánu produkce</t>
  </si>
  <si>
    <t>Využívaté AI pro optimalizaci a plánování celého výrobního procesu?</t>
  </si>
  <si>
    <t>Predikce nežádoucích změn technického stavu technologií a zařízení</t>
  </si>
  <si>
    <t>Využíváte AI pro detekci změny technického stavu technologií a zařízení?</t>
  </si>
  <si>
    <t>Využití umělé inteligence k prediktivní údržbě strojů</t>
  </si>
  <si>
    <t>Využíváte AI pro prevetivní údržbu strojů?</t>
  </si>
  <si>
    <t>Kybernetická bezpečnost</t>
  </si>
  <si>
    <t>Integrační a fyzická vrstva - Bezpečnost</t>
  </si>
  <si>
    <t>10.</t>
  </si>
  <si>
    <t>Administrativní data</t>
  </si>
  <si>
    <t>Jaké úložiště pro správu administrativních dat využíváte?</t>
  </si>
  <si>
    <t>Vlastní server</t>
  </si>
  <si>
    <t>Cloud (historická data)</t>
  </si>
  <si>
    <t>Cloud (aktuální data)</t>
  </si>
  <si>
    <t>Cloud (pro analýzu dat)</t>
  </si>
  <si>
    <t>Výrobní data</t>
  </si>
  <si>
    <t>Jaké úložiště pro správu výrobních dat využíváte?</t>
  </si>
  <si>
    <t>Vlastní server (nebude akceptováno PC s jedním HDD či RAID 0,1)</t>
  </si>
  <si>
    <t>Datová bezpečnost</t>
  </si>
  <si>
    <t>Jak máte vyřešenu datovou bezpečnost?</t>
  </si>
  <si>
    <t>Neřešena</t>
  </si>
  <si>
    <t>Řešena technologickým základem - antivir, firewall, router...</t>
  </si>
  <si>
    <t>Řešena technologicky - IPS appliance (např. Fortinet…)</t>
  </si>
  <si>
    <t>Řešena technologicky i procesně (např. ISO 27001)</t>
  </si>
  <si>
    <t>Kde evidujete zákaznická data?</t>
  </si>
  <si>
    <t>Neevidujeme / Evidujeme, ale jen jednoduchou formou (např. Excel...)</t>
  </si>
  <si>
    <t>komplexní ERP / MES</t>
  </si>
  <si>
    <t>Zde si můžete dělat svoje poznámky a výpočty.</t>
  </si>
  <si>
    <t>Využívá a zahrnuje surovinovou náročnost, kompletní energetickou stopu, celý životní cyklus produktu včetně implementace do dalších systémů, zařízení a služeb</t>
  </si>
  <si>
    <t>Datová integrace – plánování a řízení výroby</t>
  </si>
  <si>
    <t>IoT – výrobek IoT a identifikace mezi prvky systému</t>
  </si>
  <si>
    <t>IoT – prediktivní údržba</t>
  </si>
  <si>
    <t>Datová integrace – sledování stavu strojů, zakázek 
a výkonu operátorů</t>
  </si>
  <si>
    <t>AI – Využití algoritmů umělé inteligence</t>
  </si>
  <si>
    <t>B, C</t>
  </si>
  <si>
    <t>Bodové hodnocení</t>
  </si>
  <si>
    <t>Digitální dvojče, rozšířená realita, virtuální realita
– vývoj a konstrukce výrobku</t>
  </si>
  <si>
    <t>současný stav</t>
  </si>
  <si>
    <t>plánovaný stav</t>
  </si>
  <si>
    <t>pokrok</t>
  </si>
  <si>
    <t>výběr úrovně</t>
  </si>
  <si>
    <t>bodové hodnocení</t>
  </si>
  <si>
    <t>v bodovém intervalu od 13 včetně do 100</t>
  </si>
  <si>
    <t>x</t>
  </si>
  <si>
    <t>pracovní formulář oddíl</t>
  </si>
  <si>
    <t>Maximum bodového hodnocení</t>
  </si>
  <si>
    <t>Model hodnocení</t>
  </si>
  <si>
    <t>celkem</t>
  </si>
  <si>
    <t>Správnost vyplnění pracovního formuláře</t>
  </si>
  <si>
    <t>Získal projekt v bodovém hodnocení současné úrovně minimální počet bodů 13?</t>
  </si>
  <si>
    <t>Získal projekt v celkovém hodnocení minimální počet bodů 50?</t>
  </si>
  <si>
    <t>Vyhodnocení projektu</t>
  </si>
  <si>
    <t>Komentář IH-01</t>
  </si>
  <si>
    <t>Komentář IH-02</t>
  </si>
  <si>
    <t>Výzvy programu Technologie OPPIK</t>
  </si>
  <si>
    <t>Příloha č. 1 k Modelu hodnocení a kritériím pro hodnocení a výběr projektů</t>
  </si>
  <si>
    <t>Pracovní formulář pro vyhodnocení současné nebo plánované úrovně digitální transformace žadatele</t>
  </si>
  <si>
    <t>Body</t>
  </si>
  <si>
    <t>Vyhodnocení digitální transformace žadatele dle Modelu hodnocení 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</si>
</sst>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K_č"/>
    <numFmt numFmtId="165" formatCode="#,##0.000"/>
    <numFmt numFmtId="166" formatCode="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16"/>
      <color theme="8" tint="0.79998168889431442"/>
      <name val="Calibri"/>
      <family val="2"/>
      <charset val="238"/>
      <scheme val="minor"/>
    </font>
    <font>
      <sz val="24"/>
      <color rgb="FFFFD44B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44B"/>
        <bgColor indexed="64"/>
      </patternFill>
    </fill>
    <fill>
      <patternFill patternType="solid">
        <fgColor rgb="FFCBD6ED"/>
        <bgColor indexed="64"/>
      </patternFill>
    </fill>
    <fill>
      <patternFill patternType="solid">
        <fgColor rgb="FFD1E6C4"/>
        <bgColor indexed="64"/>
      </patternFill>
    </fill>
    <fill>
      <patternFill patternType="solid">
        <fgColor rgb="FFF9CBB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55">
    <xf numFmtId="0" fontId="0" fillId="0" borderId="0" xfId="0"/>
    <xf numFmtId="0" fontId="3" fillId="0" borderId="1" xfId="1" applyFont="1" applyFill="1" applyBorder="1" applyAlignment="1" applyProtection="1">
      <alignment horizontal="left" vertical="top" wrapText="1"/>
    </xf>
    <xf numFmtId="0" fontId="2" fillId="0" borderId="14" xfId="1" applyFont="1" applyFill="1" applyBorder="1" applyAlignment="1" applyProtection="1">
      <alignment horizontal="right" vertical="top" wrapText="1"/>
    </xf>
    <xf numFmtId="0" fontId="4" fillId="6" borderId="24" xfId="1" applyFont="1" applyFill="1" applyBorder="1" applyAlignment="1" applyProtection="1">
      <alignment vertical="top" wrapText="1"/>
    </xf>
    <xf numFmtId="0" fontId="2" fillId="6" borderId="6" xfId="1" applyFont="1" applyFill="1" applyBorder="1" applyAlignment="1" applyProtection="1">
      <alignment vertical="top" wrapText="1"/>
    </xf>
    <xf numFmtId="0" fontId="0" fillId="0" borderId="0" xfId="0" applyAlignment="1">
      <alignment vertical="top"/>
    </xf>
    <xf numFmtId="0" fontId="6" fillId="8" borderId="9" xfId="0" applyFont="1" applyFill="1" applyBorder="1" applyAlignment="1">
      <alignment horizontal="left" vertical="top"/>
    </xf>
    <xf numFmtId="0" fontId="3" fillId="6" borderId="25" xfId="0" applyFont="1" applyFill="1" applyBorder="1" applyAlignment="1">
      <alignment vertical="top"/>
    </xf>
    <xf numFmtId="0" fontId="3" fillId="6" borderId="33" xfId="0" applyFont="1" applyFill="1" applyBorder="1" applyAlignment="1">
      <alignment vertical="top"/>
    </xf>
    <xf numFmtId="0" fontId="2" fillId="0" borderId="34" xfId="1" applyFont="1" applyFill="1" applyBorder="1" applyAlignment="1" applyProtection="1">
      <alignment horizontal="right" vertical="top" wrapText="1"/>
    </xf>
    <xf numFmtId="0" fontId="3" fillId="0" borderId="11" xfId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3" fillId="6" borderId="4" xfId="0" applyFont="1" applyFill="1" applyBorder="1" applyAlignment="1">
      <alignment vertical="top"/>
    </xf>
    <xf numFmtId="49" fontId="2" fillId="6" borderId="21" xfId="1" applyNumberFormat="1" applyFont="1" applyFill="1" applyBorder="1" applyAlignment="1" applyProtection="1">
      <alignment horizontal="center" vertical="top" wrapText="1"/>
    </xf>
    <xf numFmtId="49" fontId="3" fillId="6" borderId="17" xfId="0" applyNumberFormat="1" applyFont="1" applyFill="1" applyBorder="1" applyAlignment="1">
      <alignment vertical="top"/>
    </xf>
    <xf numFmtId="0" fontId="2" fillId="6" borderId="39" xfId="1" applyFont="1" applyFill="1" applyBorder="1" applyAlignment="1" applyProtection="1">
      <alignment vertical="top" wrapText="1"/>
    </xf>
    <xf numFmtId="0" fontId="5" fillId="4" borderId="27" xfId="1" applyFont="1" applyFill="1" applyBorder="1" applyAlignment="1" applyProtection="1">
      <alignment vertical="top" wrapText="1"/>
    </xf>
    <xf numFmtId="1" fontId="2" fillId="7" borderId="12" xfId="1" applyNumberFormat="1" applyFont="1" applyFill="1" applyBorder="1" applyAlignment="1" applyProtection="1">
      <alignment horizontal="center" vertical="top" wrapText="1"/>
    </xf>
    <xf numFmtId="1" fontId="2" fillId="7" borderId="2" xfId="1" applyNumberFormat="1" applyFont="1" applyFill="1" applyBorder="1" applyAlignment="1" applyProtection="1">
      <alignment horizontal="center" vertical="top" wrapText="1"/>
    </xf>
    <xf numFmtId="0" fontId="3" fillId="0" borderId="40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0" fontId="3" fillId="0" borderId="30" xfId="0" applyFont="1" applyFill="1" applyBorder="1" applyAlignment="1">
      <alignment vertical="top"/>
    </xf>
    <xf numFmtId="0" fontId="9" fillId="6" borderId="31" xfId="0" applyFont="1" applyFill="1" applyBorder="1" applyAlignment="1">
      <alignment horizontal="center" vertical="top"/>
    </xf>
    <xf numFmtId="0" fontId="3" fillId="0" borderId="24" xfId="0" applyFont="1" applyFill="1" applyBorder="1" applyAlignment="1">
      <alignment vertical="top"/>
    </xf>
    <xf numFmtId="0" fontId="3" fillId="0" borderId="25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39" xfId="0" applyFont="1" applyFill="1" applyBorder="1" applyAlignment="1">
      <alignment vertical="top"/>
    </xf>
    <xf numFmtId="0" fontId="3" fillId="8" borderId="9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8" borderId="9" xfId="0" applyFont="1" applyFill="1" applyBorder="1" applyAlignment="1">
      <alignment horizontal="left" vertical="top"/>
    </xf>
    <xf numFmtId="0" fontId="3" fillId="0" borderId="0" xfId="0" applyFont="1" applyFill="1" applyProtection="1"/>
    <xf numFmtId="0" fontId="14" fillId="0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4" fontId="0" fillId="0" borderId="0" xfId="0" applyNumberFormat="1" applyAlignment="1" applyProtection="1">
      <alignment horizontal="center"/>
    </xf>
    <xf numFmtId="4" fontId="6" fillId="8" borderId="9" xfId="0" applyNumberFormat="1" applyFont="1" applyFill="1" applyBorder="1" applyAlignment="1">
      <alignment horizontal="center" vertical="top"/>
    </xf>
    <xf numFmtId="4" fontId="9" fillId="6" borderId="31" xfId="0" applyNumberFormat="1" applyFont="1" applyFill="1" applyBorder="1" applyAlignment="1">
      <alignment horizontal="center" vertical="top"/>
    </xf>
    <xf numFmtId="4" fontId="2" fillId="2" borderId="1" xfId="1" applyNumberFormat="1" applyFont="1" applyFill="1" applyBorder="1" applyAlignment="1" applyProtection="1">
      <alignment horizontal="center" vertical="top" wrapText="1"/>
    </xf>
    <xf numFmtId="0" fontId="3" fillId="5" borderId="0" xfId="0" applyFont="1" applyFill="1" applyProtection="1"/>
    <xf numFmtId="4" fontId="2" fillId="2" borderId="41" xfId="1" applyNumberFormat="1" applyFont="1" applyFill="1" applyBorder="1" applyAlignment="1" applyProtection="1">
      <alignment horizontal="center" vertical="top" wrapText="1"/>
    </xf>
    <xf numFmtId="0" fontId="3" fillId="2" borderId="27" xfId="0" applyFont="1" applyFill="1" applyBorder="1" applyProtection="1"/>
    <xf numFmtId="0" fontId="3" fillId="2" borderId="45" xfId="0" applyFont="1" applyFill="1" applyBorder="1" applyProtection="1"/>
    <xf numFmtId="4" fontId="2" fillId="2" borderId="1" xfId="1" applyNumberFormat="1" applyFont="1" applyFill="1" applyBorder="1" applyAlignment="1" applyProtection="1">
      <alignment horizontal="left" vertical="top" wrapText="1"/>
    </xf>
    <xf numFmtId="4" fontId="13" fillId="2" borderId="1" xfId="1" applyNumberFormat="1" applyFont="1" applyFill="1" applyBorder="1" applyAlignment="1" applyProtection="1">
      <alignment horizontal="center" vertical="top" wrapText="1"/>
    </xf>
    <xf numFmtId="4" fontId="13" fillId="15" borderId="1" xfId="1" applyNumberFormat="1" applyFont="1" applyFill="1" applyBorder="1" applyAlignment="1" applyProtection="1">
      <alignment horizontal="center" vertical="top" wrapText="1"/>
    </xf>
    <xf numFmtId="0" fontId="2" fillId="2" borderId="43" xfId="1" applyFont="1" applyFill="1" applyBorder="1" applyAlignment="1" applyProtection="1">
      <alignment horizontal="center" vertical="center" wrapText="1"/>
    </xf>
    <xf numFmtId="0" fontId="2" fillId="2" borderId="42" xfId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top" wrapText="1"/>
    </xf>
    <xf numFmtId="0" fontId="2" fillId="14" borderId="41" xfId="1" applyFont="1" applyFill="1" applyBorder="1" applyAlignment="1" applyProtection="1">
      <alignment horizontal="center" vertical="top"/>
    </xf>
    <xf numFmtId="0" fontId="3" fillId="14" borderId="0" xfId="0" applyFont="1" applyFill="1" applyProtection="1"/>
    <xf numFmtId="0" fontId="5" fillId="14" borderId="1" xfId="1" applyFont="1" applyFill="1" applyBorder="1" applyAlignment="1" applyProtection="1">
      <alignment horizontal="left" vertical="top" wrapText="1"/>
    </xf>
    <xf numFmtId="2" fontId="3" fillId="14" borderId="1" xfId="1" applyNumberFormat="1" applyFont="1" applyFill="1" applyBorder="1" applyAlignment="1" applyProtection="1">
      <alignment horizontal="center" vertical="top" wrapText="1"/>
    </xf>
    <xf numFmtId="4" fontId="3" fillId="14" borderId="1" xfId="1" applyNumberFormat="1" applyFont="1" applyFill="1" applyBorder="1" applyAlignment="1" applyProtection="1">
      <alignment horizontal="center" vertical="top" wrapText="1"/>
    </xf>
    <xf numFmtId="4" fontId="3" fillId="6" borderId="1" xfId="1" applyNumberFormat="1" applyFont="1" applyFill="1" applyBorder="1" applyAlignment="1" applyProtection="1">
      <alignment horizontal="center" vertical="top"/>
    </xf>
    <xf numFmtId="0" fontId="3" fillId="14" borderId="1" xfId="0" applyFont="1" applyFill="1" applyBorder="1" applyAlignment="1" applyProtection="1">
      <alignment horizontal="center"/>
    </xf>
    <xf numFmtId="0" fontId="2" fillId="10" borderId="41" xfId="1" applyFont="1" applyFill="1" applyBorder="1" applyAlignment="1" applyProtection="1">
      <alignment horizontal="center" vertical="top" wrapText="1"/>
    </xf>
    <xf numFmtId="0" fontId="2" fillId="12" borderId="43" xfId="1" applyFont="1" applyFill="1" applyBorder="1" applyAlignment="1" applyProtection="1">
      <alignment horizontal="center" vertical="top" wrapText="1"/>
    </xf>
    <xf numFmtId="0" fontId="2" fillId="12" borderId="41" xfId="1" applyNumberFormat="1" applyFont="1" applyFill="1" applyBorder="1" applyAlignment="1" applyProtection="1">
      <alignment horizontal="center" vertical="top"/>
    </xf>
    <xf numFmtId="0" fontId="17" fillId="0" borderId="1" xfId="1" applyFont="1" applyFill="1" applyBorder="1" applyAlignment="1" applyProtection="1">
      <alignment horizontal="left" vertical="top" wrapText="1"/>
      <protection locked="0"/>
    </xf>
    <xf numFmtId="2" fontId="3" fillId="4" borderId="1" xfId="1" applyNumberFormat="1" applyFont="1" applyFill="1" applyBorder="1" applyAlignment="1" applyProtection="1">
      <alignment horizontal="center" vertical="top" wrapText="1"/>
      <protection locked="0"/>
    </xf>
    <xf numFmtId="4" fontId="3" fillId="4" borderId="1" xfId="1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17" borderId="0" xfId="0" applyFont="1" applyFill="1" applyProtection="1"/>
    <xf numFmtId="4" fontId="3" fillId="17" borderId="0" xfId="0" applyNumberFormat="1" applyFont="1" applyFill="1" applyProtection="1"/>
    <xf numFmtId="0" fontId="3" fillId="17" borderId="0" xfId="0" applyFont="1" applyFill="1" applyAlignment="1" applyProtection="1">
      <alignment horizontal="center"/>
    </xf>
    <xf numFmtId="4" fontId="3" fillId="5" borderId="0" xfId="0" applyNumberFormat="1" applyFont="1" applyFill="1" applyProtection="1"/>
    <xf numFmtId="0" fontId="3" fillId="5" borderId="0" xfId="0" applyFont="1" applyFill="1" applyAlignment="1" applyProtection="1">
      <alignment horizontal="center"/>
    </xf>
    <xf numFmtId="1" fontId="3" fillId="16" borderId="1" xfId="1" applyNumberFormat="1" applyFont="1" applyFill="1" applyBorder="1" applyAlignment="1" applyProtection="1">
      <alignment horizontal="center" vertical="top" wrapText="1"/>
    </xf>
    <xf numFmtId="0" fontId="2" fillId="6" borderId="16" xfId="1" applyNumberFormat="1" applyFont="1" applyFill="1" applyBorder="1" applyAlignment="1" applyProtection="1">
      <alignment horizontal="center" vertical="top" wrapText="1"/>
    </xf>
    <xf numFmtId="0" fontId="3" fillId="0" borderId="22" xfId="0" applyFont="1" applyFill="1" applyBorder="1" applyAlignment="1">
      <alignment vertical="top"/>
    </xf>
    <xf numFmtId="0" fontId="4" fillId="6" borderId="22" xfId="1" applyFont="1" applyFill="1" applyBorder="1" applyAlignment="1" applyProtection="1">
      <alignment vertical="top" wrapText="1"/>
    </xf>
    <xf numFmtId="0" fontId="2" fillId="6" borderId="0" xfId="1" applyFont="1" applyFill="1" applyBorder="1" applyAlignment="1" applyProtection="1">
      <alignment vertical="top" wrapText="1"/>
    </xf>
    <xf numFmtId="0" fontId="2" fillId="6" borderId="18" xfId="1" applyFont="1" applyFill="1" applyBorder="1" applyAlignment="1" applyProtection="1">
      <alignment vertical="top" wrapText="1"/>
    </xf>
    <xf numFmtId="0" fontId="2" fillId="0" borderId="16" xfId="1" applyFont="1" applyFill="1" applyBorder="1" applyAlignment="1" applyProtection="1">
      <alignment horizontal="right" vertical="top" wrapText="1"/>
    </xf>
    <xf numFmtId="0" fontId="3" fillId="0" borderId="26" xfId="1" applyFont="1" applyFill="1" applyBorder="1" applyAlignment="1" applyProtection="1">
      <alignment horizontal="left" vertical="top" wrapText="1"/>
    </xf>
    <xf numFmtId="0" fontId="3" fillId="0" borderId="7" xfId="1" applyFont="1" applyFill="1" applyBorder="1" applyAlignment="1" applyProtection="1">
      <alignment horizontal="left" vertical="top" wrapText="1"/>
    </xf>
    <xf numFmtId="0" fontId="3" fillId="0" borderId="41" xfId="1" applyFont="1" applyFill="1" applyBorder="1" applyAlignment="1" applyProtection="1">
      <alignment horizontal="left" vertical="top" wrapText="1"/>
    </xf>
    <xf numFmtId="2" fontId="3" fillId="6" borderId="42" xfId="1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/>
    </xf>
    <xf numFmtId="164" fontId="9" fillId="11" borderId="31" xfId="0" applyNumberFormat="1" applyFont="1" applyFill="1" applyBorder="1" applyAlignment="1">
      <alignment horizontal="center" vertical="top"/>
    </xf>
    <xf numFmtId="164" fontId="2" fillId="3" borderId="12" xfId="1" applyNumberFormat="1" applyFont="1" applyFill="1" applyBorder="1" applyAlignment="1" applyProtection="1">
      <alignment horizontal="center" vertical="top" wrapText="1"/>
    </xf>
    <xf numFmtId="164" fontId="2" fillId="3" borderId="2" xfId="1" applyNumberFormat="1" applyFont="1" applyFill="1" applyBorder="1" applyAlignment="1" applyProtection="1">
      <alignment horizontal="center" vertical="top" wrapText="1"/>
    </xf>
    <xf numFmtId="164" fontId="0" fillId="0" borderId="0" xfId="0" applyNumberFormat="1" applyAlignment="1">
      <alignment vertical="top"/>
    </xf>
    <xf numFmtId="164" fontId="9" fillId="11" borderId="32" xfId="0" applyNumberFormat="1" applyFont="1" applyFill="1" applyBorder="1" applyAlignment="1">
      <alignment horizontal="center" vertical="top"/>
    </xf>
    <xf numFmtId="164" fontId="2" fillId="5" borderId="12" xfId="1" applyNumberFormat="1" applyFont="1" applyFill="1" applyBorder="1" applyAlignment="1" applyProtection="1">
      <alignment horizontal="center" vertical="top" wrapText="1"/>
    </xf>
    <xf numFmtId="164" fontId="2" fillId="4" borderId="13" xfId="1" applyNumberFormat="1" applyFont="1" applyFill="1" applyBorder="1" applyAlignment="1" applyProtection="1">
      <alignment horizontal="center" vertical="top" wrapText="1"/>
    </xf>
    <xf numFmtId="164" fontId="2" fillId="5" borderId="2" xfId="1" applyNumberFormat="1" applyFont="1" applyFill="1" applyBorder="1" applyAlignment="1" applyProtection="1">
      <alignment horizontal="center" vertical="top" wrapText="1"/>
    </xf>
    <xf numFmtId="164" fontId="2" fillId="5" borderId="31" xfId="1" applyNumberFormat="1" applyFont="1" applyFill="1" applyBorder="1" applyAlignment="1" applyProtection="1">
      <alignment horizontal="center" vertical="top" wrapText="1"/>
    </xf>
    <xf numFmtId="164" fontId="0" fillId="0" borderId="11" xfId="0" applyNumberFormat="1" applyFont="1" applyFill="1" applyBorder="1" applyAlignment="1">
      <alignment horizontal="center" vertical="top"/>
    </xf>
    <xf numFmtId="164" fontId="0" fillId="0" borderId="1" xfId="0" applyNumberFormat="1" applyFont="1" applyFill="1" applyBorder="1" applyAlignment="1">
      <alignment horizontal="center" vertical="top"/>
    </xf>
    <xf numFmtId="4" fontId="3" fillId="0" borderId="22" xfId="0" applyNumberFormat="1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center" vertical="top"/>
    </xf>
    <xf numFmtId="4" fontId="3" fillId="0" borderId="39" xfId="0" applyNumberFormat="1" applyFont="1" applyFill="1" applyBorder="1" applyAlignment="1">
      <alignment horizontal="center" vertical="top"/>
    </xf>
    <xf numFmtId="4" fontId="3" fillId="8" borderId="9" xfId="0" applyNumberFormat="1" applyFont="1" applyFill="1" applyBorder="1" applyAlignment="1">
      <alignment horizontal="center" vertical="top"/>
    </xf>
    <xf numFmtId="4" fontId="4" fillId="6" borderId="22" xfId="1" applyNumberFormat="1" applyFont="1" applyFill="1" applyBorder="1" applyAlignment="1" applyProtection="1">
      <alignment horizontal="center" vertical="top" wrapText="1"/>
    </xf>
    <xf numFmtId="4" fontId="2" fillId="6" borderId="0" xfId="1" applyNumberFormat="1" applyFont="1" applyFill="1" applyBorder="1" applyAlignment="1" applyProtection="1">
      <alignment horizontal="center" vertical="top" wrapText="1"/>
    </xf>
    <xf numFmtId="4" fontId="3" fillId="16" borderId="0" xfId="0" applyNumberFormat="1" applyFont="1" applyFill="1" applyBorder="1" applyAlignment="1">
      <alignment horizontal="center" vertical="top"/>
    </xf>
    <xf numFmtId="4" fontId="3" fillId="10" borderId="0" xfId="0" applyNumberFormat="1" applyFont="1" applyFill="1" applyBorder="1" applyAlignment="1">
      <alignment horizontal="center" vertical="top"/>
    </xf>
    <xf numFmtId="4" fontId="5" fillId="4" borderId="27" xfId="1" applyNumberFormat="1" applyFont="1" applyFill="1" applyBorder="1" applyAlignment="1" applyProtection="1">
      <alignment horizontal="center" vertical="top" wrapText="1"/>
    </xf>
    <xf numFmtId="4" fontId="2" fillId="6" borderId="18" xfId="1" applyNumberFormat="1" applyFont="1" applyFill="1" applyBorder="1" applyAlignment="1" applyProtection="1">
      <alignment horizontal="center" vertical="top" wrapText="1"/>
    </xf>
    <xf numFmtId="4" fontId="0" fillId="0" borderId="0" xfId="0" applyNumberFormat="1" applyAlignment="1">
      <alignment horizontal="center" vertical="top"/>
    </xf>
    <xf numFmtId="1" fontId="3" fillId="16" borderId="0" xfId="1" applyNumberFormat="1" applyFont="1" applyFill="1" applyBorder="1" applyAlignment="1" applyProtection="1">
      <alignment horizontal="center" vertical="top" wrapText="1"/>
    </xf>
    <xf numFmtId="0" fontId="0" fillId="10" borderId="0" xfId="0" applyFill="1" applyAlignment="1">
      <alignment horizontal="center" vertical="top"/>
    </xf>
    <xf numFmtId="0" fontId="0" fillId="12" borderId="0" xfId="0" applyFill="1" applyAlignment="1">
      <alignment horizontal="center" vertical="top"/>
    </xf>
    <xf numFmtId="0" fontId="10" fillId="10" borderId="0" xfId="0" applyFont="1" applyFill="1" applyAlignment="1">
      <alignment horizontal="center" vertical="top"/>
    </xf>
    <xf numFmtId="0" fontId="10" fillId="12" borderId="0" xfId="0" applyFont="1" applyFill="1" applyAlignment="1">
      <alignment horizontal="center" vertical="top"/>
    </xf>
    <xf numFmtId="0" fontId="0" fillId="18" borderId="0" xfId="0" applyFill="1" applyAlignment="1">
      <alignment horizontal="center" vertical="top"/>
    </xf>
    <xf numFmtId="0" fontId="7" fillId="3" borderId="22" xfId="0" applyFont="1" applyFill="1" applyBorder="1" applyAlignment="1">
      <alignment vertical="top"/>
    </xf>
    <xf numFmtId="4" fontId="7" fillId="3" borderId="22" xfId="0" applyNumberFormat="1" applyFont="1" applyFill="1" applyBorder="1" applyAlignment="1">
      <alignment horizontal="center" vertical="top"/>
    </xf>
    <xf numFmtId="0" fontId="5" fillId="3" borderId="27" xfId="1" applyFont="1" applyFill="1" applyBorder="1" applyAlignment="1" applyProtection="1">
      <alignment vertical="top" wrapText="1"/>
    </xf>
    <xf numFmtId="4" fontId="5" fillId="3" borderId="27" xfId="1" applyNumberFormat="1" applyFont="1" applyFill="1" applyBorder="1" applyAlignment="1" applyProtection="1">
      <alignment horizontal="center" vertical="top" wrapText="1"/>
    </xf>
    <xf numFmtId="0" fontId="7" fillId="4" borderId="18" xfId="0" applyFont="1" applyFill="1" applyBorder="1" applyAlignment="1">
      <alignment vertical="top"/>
    </xf>
    <xf numFmtId="4" fontId="7" fillId="4" borderId="18" xfId="0" applyNumberFormat="1" applyFont="1" applyFill="1" applyBorder="1" applyAlignment="1">
      <alignment horizontal="center" vertical="top"/>
    </xf>
    <xf numFmtId="0" fontId="5" fillId="3" borderId="0" xfId="1" applyFont="1" applyFill="1" applyBorder="1" applyAlignment="1" applyProtection="1">
      <alignment vertical="top" wrapText="1"/>
    </xf>
    <xf numFmtId="4" fontId="5" fillId="3" borderId="0" xfId="1" applyNumberFormat="1" applyFont="1" applyFill="1" applyBorder="1" applyAlignment="1" applyProtection="1">
      <alignment horizontal="center" vertical="top" wrapText="1"/>
    </xf>
    <xf numFmtId="0" fontId="3" fillId="4" borderId="18" xfId="0" applyFont="1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5" fillId="3" borderId="5" xfId="1" applyFont="1" applyFill="1" applyBorder="1" applyAlignment="1" applyProtection="1">
      <alignment vertical="top" wrapText="1"/>
    </xf>
    <xf numFmtId="0" fontId="18" fillId="9" borderId="22" xfId="0" applyFont="1" applyFill="1" applyBorder="1" applyAlignment="1">
      <alignment vertical="top"/>
    </xf>
    <xf numFmtId="4" fontId="18" fillId="9" borderId="22" xfId="0" applyNumberFormat="1" applyFont="1" applyFill="1" applyBorder="1" applyAlignment="1">
      <alignment horizontal="center" vertical="top"/>
    </xf>
    <xf numFmtId="0" fontId="6" fillId="20" borderId="8" xfId="0" applyFont="1" applyFill="1" applyBorder="1" applyAlignment="1">
      <alignment horizontal="left" vertical="top"/>
    </xf>
    <xf numFmtId="0" fontId="6" fillId="20" borderId="9" xfId="0" applyFont="1" applyFill="1" applyBorder="1" applyAlignment="1">
      <alignment horizontal="left" vertical="top"/>
    </xf>
    <xf numFmtId="4" fontId="19" fillId="20" borderId="9" xfId="0" applyNumberFormat="1" applyFont="1" applyFill="1" applyBorder="1" applyAlignment="1">
      <alignment horizontal="center" vertical="top"/>
    </xf>
    <xf numFmtId="0" fontId="3" fillId="20" borderId="8" xfId="0" applyFont="1" applyFill="1" applyBorder="1" applyAlignment="1">
      <alignment horizontal="left" vertical="top"/>
    </xf>
    <xf numFmtId="0" fontId="3" fillId="20" borderId="9" xfId="0" applyFont="1" applyFill="1" applyBorder="1" applyAlignment="1">
      <alignment horizontal="left" vertical="top"/>
    </xf>
    <xf numFmtId="0" fontId="3" fillId="20" borderId="9" xfId="0" applyFont="1" applyFill="1" applyBorder="1" applyAlignment="1">
      <alignment horizontal="center" vertical="top"/>
    </xf>
    <xf numFmtId="0" fontId="3" fillId="20" borderId="9" xfId="0" applyFont="1" applyFill="1" applyBorder="1" applyAlignment="1">
      <alignment horizontal="left" vertical="top"/>
    </xf>
    <xf numFmtId="4" fontId="7" fillId="21" borderId="22" xfId="0" applyNumberFormat="1" applyFont="1" applyFill="1" applyBorder="1" applyAlignment="1">
      <alignment horizontal="center" vertical="top"/>
    </xf>
    <xf numFmtId="164" fontId="2" fillId="21" borderId="12" xfId="1" applyNumberFormat="1" applyFont="1" applyFill="1" applyBorder="1" applyAlignment="1" applyProtection="1">
      <alignment horizontal="center" vertical="top" wrapText="1"/>
    </xf>
    <xf numFmtId="164" fontId="2" fillId="21" borderId="2" xfId="1" applyNumberFormat="1" applyFont="1" applyFill="1" applyBorder="1" applyAlignment="1" applyProtection="1">
      <alignment horizontal="center" vertical="top" wrapText="1"/>
    </xf>
    <xf numFmtId="164" fontId="2" fillId="21" borderId="31" xfId="1" applyNumberFormat="1" applyFont="1" applyFill="1" applyBorder="1" applyAlignment="1" applyProtection="1">
      <alignment horizontal="center" vertical="top" wrapText="1"/>
    </xf>
    <xf numFmtId="164" fontId="0" fillId="21" borderId="11" xfId="0" applyNumberFormat="1" applyFont="1" applyFill="1" applyBorder="1" applyAlignment="1">
      <alignment horizontal="center" vertical="top"/>
    </xf>
    <xf numFmtId="164" fontId="0" fillId="21" borderId="1" xfId="0" applyNumberFormat="1" applyFont="1" applyFill="1" applyBorder="1" applyAlignment="1">
      <alignment horizontal="center" vertical="top"/>
    </xf>
    <xf numFmtId="0" fontId="5" fillId="21" borderId="16" xfId="1" applyFont="1" applyFill="1" applyBorder="1" applyAlignment="1" applyProtection="1">
      <alignment vertical="top" wrapText="1"/>
    </xf>
    <xf numFmtId="0" fontId="5" fillId="21" borderId="26" xfId="1" applyFont="1" applyFill="1" applyBorder="1" applyAlignment="1" applyProtection="1">
      <alignment vertical="top" wrapText="1"/>
    </xf>
    <xf numFmtId="0" fontId="5" fillId="21" borderId="27" xfId="1" applyFont="1" applyFill="1" applyBorder="1" applyAlignment="1" applyProtection="1">
      <alignment vertical="top" wrapText="1"/>
    </xf>
    <xf numFmtId="164" fontId="5" fillId="21" borderId="27" xfId="1" applyNumberFormat="1" applyFont="1" applyFill="1" applyBorder="1" applyAlignment="1" applyProtection="1">
      <alignment vertical="top" wrapText="1"/>
    </xf>
    <xf numFmtId="164" fontId="5" fillId="21" borderId="28" xfId="1" applyNumberFormat="1" applyFont="1" applyFill="1" applyBorder="1" applyAlignment="1" applyProtection="1">
      <alignment vertical="top" wrapText="1"/>
    </xf>
    <xf numFmtId="0" fontId="5" fillId="21" borderId="36" xfId="1" applyFont="1" applyFill="1" applyBorder="1" applyAlignment="1" applyProtection="1">
      <alignment vertical="top" wrapText="1"/>
    </xf>
    <xf numFmtId="4" fontId="7" fillId="22" borderId="18" xfId="0" applyNumberFormat="1" applyFont="1" applyFill="1" applyBorder="1" applyAlignment="1">
      <alignment horizontal="center" vertical="top"/>
    </xf>
    <xf numFmtId="4" fontId="7" fillId="22" borderId="18" xfId="0" applyNumberFormat="1" applyFont="1" applyFill="1" applyBorder="1" applyAlignment="1">
      <alignment vertical="top"/>
    </xf>
    <xf numFmtId="164" fontId="7" fillId="22" borderId="18" xfId="0" applyNumberFormat="1" applyFont="1" applyFill="1" applyBorder="1" applyAlignment="1">
      <alignment vertical="top"/>
    </xf>
    <xf numFmtId="4" fontId="8" fillId="22" borderId="18" xfId="0" applyNumberFormat="1" applyFont="1" applyFill="1" applyBorder="1" applyAlignment="1">
      <alignment horizontal="center" vertical="top"/>
    </xf>
    <xf numFmtId="164" fontId="8" fillId="22" borderId="18" xfId="0" applyNumberFormat="1" applyFont="1" applyFill="1" applyBorder="1" applyAlignment="1">
      <alignment horizontal="center" vertical="top"/>
    </xf>
    <xf numFmtId="164" fontId="8" fillId="22" borderId="19" xfId="0" applyNumberFormat="1" applyFont="1" applyFill="1" applyBorder="1" applyAlignment="1">
      <alignment horizontal="center" vertical="top"/>
    </xf>
    <xf numFmtId="0" fontId="3" fillId="22" borderId="24" xfId="0" applyFont="1" applyFill="1" applyBorder="1" applyAlignment="1">
      <alignment vertical="top"/>
    </xf>
    <xf numFmtId="0" fontId="3" fillId="22" borderId="25" xfId="0" applyFont="1" applyFill="1" applyBorder="1" applyAlignment="1">
      <alignment vertical="top"/>
    </xf>
    <xf numFmtId="0" fontId="3" fillId="22" borderId="6" xfId="0" applyFont="1" applyFill="1" applyBorder="1" applyAlignment="1">
      <alignment vertical="top"/>
    </xf>
    <xf numFmtId="0" fontId="3" fillId="22" borderId="4" xfId="0" applyFont="1" applyFill="1" applyBorder="1" applyAlignment="1">
      <alignment vertical="top"/>
    </xf>
    <xf numFmtId="0" fontId="5" fillId="22" borderId="37" xfId="1" applyFont="1" applyFill="1" applyBorder="1" applyAlignment="1" applyProtection="1">
      <alignment vertical="top" wrapText="1"/>
    </xf>
    <xf numFmtId="0" fontId="5" fillId="22" borderId="26" xfId="1" applyFont="1" applyFill="1" applyBorder="1" applyAlignment="1" applyProtection="1">
      <alignment vertical="top" wrapText="1"/>
    </xf>
    <xf numFmtId="0" fontId="5" fillId="22" borderId="27" xfId="1" applyFont="1" applyFill="1" applyBorder="1" applyAlignment="1" applyProtection="1">
      <alignment vertical="top" wrapText="1"/>
    </xf>
    <xf numFmtId="164" fontId="5" fillId="22" borderId="27" xfId="1" applyNumberFormat="1" applyFont="1" applyFill="1" applyBorder="1" applyAlignment="1" applyProtection="1">
      <alignment vertical="top" wrapText="1"/>
    </xf>
    <xf numFmtId="164" fontId="5" fillId="22" borderId="28" xfId="1" applyNumberFormat="1" applyFont="1" applyFill="1" applyBorder="1" applyAlignment="1" applyProtection="1">
      <alignment vertical="top" wrapText="1"/>
    </xf>
    <xf numFmtId="0" fontId="5" fillId="22" borderId="30" xfId="1" applyFont="1" applyFill="1" applyBorder="1" applyAlignment="1" applyProtection="1">
      <alignment vertical="top" wrapText="1"/>
    </xf>
    <xf numFmtId="164" fontId="2" fillId="22" borderId="13" xfId="1" applyNumberFormat="1" applyFont="1" applyFill="1" applyBorder="1" applyAlignment="1" applyProtection="1">
      <alignment horizontal="center" vertical="top" wrapText="1"/>
    </xf>
    <xf numFmtId="164" fontId="2" fillId="22" borderId="23" xfId="1" applyNumberFormat="1" applyFont="1" applyFill="1" applyBorder="1" applyAlignment="1" applyProtection="1">
      <alignment horizontal="center" vertical="top" wrapText="1"/>
    </xf>
    <xf numFmtId="164" fontId="2" fillId="22" borderId="32" xfId="1" applyNumberFormat="1" applyFont="1" applyFill="1" applyBorder="1" applyAlignment="1" applyProtection="1">
      <alignment horizontal="center" vertical="top" wrapText="1"/>
    </xf>
    <xf numFmtId="164" fontId="0" fillId="22" borderId="35" xfId="0" applyNumberFormat="1" applyFont="1" applyFill="1" applyBorder="1" applyAlignment="1">
      <alignment horizontal="center" vertical="top"/>
    </xf>
    <xf numFmtId="164" fontId="0" fillId="22" borderId="15" xfId="0" applyNumberFormat="1" applyFont="1" applyFill="1" applyBorder="1" applyAlignment="1">
      <alignment horizontal="center" vertical="top"/>
    </xf>
    <xf numFmtId="1" fontId="2" fillId="23" borderId="12" xfId="1" applyNumberFormat="1" applyFont="1" applyFill="1" applyBorder="1" applyAlignment="1" applyProtection="1">
      <alignment horizontal="center" vertical="top" wrapText="1"/>
    </xf>
    <xf numFmtId="1" fontId="2" fillId="23" borderId="2" xfId="1" applyNumberFormat="1" applyFont="1" applyFill="1" applyBorder="1" applyAlignment="1" applyProtection="1">
      <alignment horizontal="center" vertical="top" wrapText="1"/>
    </xf>
    <xf numFmtId="1" fontId="2" fillId="23" borderId="31" xfId="1" applyNumberFormat="1" applyFont="1" applyFill="1" applyBorder="1" applyAlignment="1" applyProtection="1">
      <alignment horizontal="center" vertical="top" wrapText="1"/>
    </xf>
    <xf numFmtId="49" fontId="2" fillId="19" borderId="21" xfId="1" applyNumberFormat="1" applyFont="1" applyFill="1" applyBorder="1" applyAlignment="1" applyProtection="1">
      <alignment horizontal="center" vertical="top" wrapText="1"/>
    </xf>
    <xf numFmtId="0" fontId="4" fillId="19" borderId="24" xfId="1" applyFont="1" applyFill="1" applyBorder="1" applyAlignment="1" applyProtection="1">
      <alignment vertical="top" wrapText="1"/>
    </xf>
    <xf numFmtId="0" fontId="3" fillId="19" borderId="25" xfId="0" applyFont="1" applyFill="1" applyBorder="1" applyAlignment="1">
      <alignment vertical="top"/>
    </xf>
    <xf numFmtId="0" fontId="2" fillId="19" borderId="16" xfId="1" applyNumberFormat="1" applyFont="1" applyFill="1" applyBorder="1" applyAlignment="1" applyProtection="1">
      <alignment horizontal="center" vertical="top" wrapText="1"/>
    </xf>
    <xf numFmtId="0" fontId="2" fillId="19" borderId="6" xfId="1" applyFont="1" applyFill="1" applyBorder="1" applyAlignment="1" applyProtection="1">
      <alignment vertical="top" wrapText="1"/>
    </xf>
    <xf numFmtId="0" fontId="3" fillId="19" borderId="4" xfId="0" applyFont="1" applyFill="1" applyBorder="1" applyAlignment="1">
      <alignment vertical="top"/>
    </xf>
    <xf numFmtId="49" fontId="3" fillId="19" borderId="17" xfId="0" applyNumberFormat="1" applyFont="1" applyFill="1" applyBorder="1" applyAlignment="1">
      <alignment vertical="top"/>
    </xf>
    <xf numFmtId="0" fontId="2" fillId="19" borderId="39" xfId="1" applyFont="1" applyFill="1" applyBorder="1" applyAlignment="1" applyProtection="1">
      <alignment vertical="top" wrapText="1"/>
    </xf>
    <xf numFmtId="0" fontId="3" fillId="19" borderId="33" xfId="0" applyFont="1" applyFill="1" applyBorder="1" applyAlignment="1">
      <alignment vertical="top"/>
    </xf>
    <xf numFmtId="2" fontId="3" fillId="19" borderId="42" xfId="1" applyNumberFormat="1" applyFont="1" applyFill="1" applyBorder="1" applyAlignment="1" applyProtection="1">
      <alignment horizontal="center" vertical="top" wrapText="1"/>
    </xf>
    <xf numFmtId="0" fontId="7" fillId="22" borderId="17" xfId="0" applyFont="1" applyFill="1" applyBorder="1" applyAlignment="1">
      <alignment vertical="top"/>
    </xf>
    <xf numFmtId="0" fontId="7" fillId="22" borderId="18" xfId="0" applyFont="1" applyFill="1" applyBorder="1" applyAlignment="1">
      <alignment vertical="top"/>
    </xf>
    <xf numFmtId="0" fontId="7" fillId="21" borderId="21" xfId="0" applyFont="1" applyFill="1" applyBorder="1" applyAlignment="1">
      <alignment vertical="top"/>
    </xf>
    <xf numFmtId="0" fontId="7" fillId="21" borderId="22" xfId="0" applyFont="1" applyFill="1" applyBorder="1" applyAlignment="1">
      <alignment vertical="top"/>
    </xf>
    <xf numFmtId="0" fontId="5" fillId="21" borderId="28" xfId="1" applyFont="1" applyFill="1" applyBorder="1" applyAlignment="1" applyProtection="1">
      <alignment vertical="top" wrapText="1"/>
    </xf>
    <xf numFmtId="2" fontId="2" fillId="22" borderId="13" xfId="1" applyNumberFormat="1" applyFont="1" applyFill="1" applyBorder="1" applyAlignment="1" applyProtection="1">
      <alignment horizontal="center" vertical="top" wrapText="1"/>
    </xf>
    <xf numFmtId="2" fontId="2" fillId="22" borderId="23" xfId="1" applyNumberFormat="1" applyFont="1" applyFill="1" applyBorder="1" applyAlignment="1" applyProtection="1">
      <alignment horizontal="center" vertical="top" wrapText="1"/>
    </xf>
    <xf numFmtId="2" fontId="2" fillId="22" borderId="32" xfId="1" applyNumberFormat="1" applyFont="1" applyFill="1" applyBorder="1" applyAlignment="1" applyProtection="1">
      <alignment horizontal="center" vertical="top" wrapText="1"/>
    </xf>
    <xf numFmtId="0" fontId="0" fillId="22" borderId="35" xfId="0" applyFont="1" applyFill="1" applyBorder="1" applyAlignment="1">
      <alignment horizontal="center" vertical="top"/>
    </xf>
    <xf numFmtId="0" fontId="0" fillId="22" borderId="15" xfId="0" applyFont="1" applyFill="1" applyBorder="1" applyAlignment="1">
      <alignment horizontal="center" vertical="top"/>
    </xf>
    <xf numFmtId="0" fontId="5" fillId="22" borderId="28" xfId="1" applyFont="1" applyFill="1" applyBorder="1" applyAlignment="1" applyProtection="1">
      <alignment vertical="top" wrapText="1"/>
    </xf>
    <xf numFmtId="0" fontId="6" fillId="20" borderId="9" xfId="0" applyFont="1" applyFill="1" applyBorder="1" applyAlignment="1">
      <alignment horizontal="left" vertical="top" wrapText="1"/>
    </xf>
    <xf numFmtId="0" fontId="14" fillId="5" borderId="41" xfId="0" applyFont="1" applyFill="1" applyBorder="1" applyAlignment="1" applyProtection="1">
      <alignment horizontal="left" vertical="top"/>
    </xf>
    <xf numFmtId="4" fontId="21" fillId="5" borderId="1" xfId="0" applyNumberFormat="1" applyFont="1" applyFill="1" applyBorder="1" applyAlignment="1" applyProtection="1">
      <alignment horizontal="left" vertical="top"/>
    </xf>
    <xf numFmtId="0" fontId="3" fillId="20" borderId="9" xfId="0" applyFont="1" applyFill="1" applyBorder="1" applyAlignment="1">
      <alignment horizontal="left" vertical="top"/>
    </xf>
    <xf numFmtId="4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4" fontId="14" fillId="5" borderId="41" xfId="0" applyNumberFormat="1" applyFont="1" applyFill="1" applyBorder="1" applyAlignment="1" applyProtection="1">
      <alignment horizontal="center" vertical="top"/>
    </xf>
    <xf numFmtId="0" fontId="14" fillId="5" borderId="54" xfId="0" applyFont="1" applyFill="1" applyBorder="1" applyAlignment="1" applyProtection="1">
      <alignment horizontal="left" vertical="top"/>
    </xf>
    <xf numFmtId="4" fontId="21" fillId="5" borderId="55" xfId="0" applyNumberFormat="1" applyFont="1" applyFill="1" applyBorder="1" applyAlignment="1" applyProtection="1">
      <alignment horizontal="left" vertical="top"/>
    </xf>
    <xf numFmtId="4" fontId="14" fillId="5" borderId="54" xfId="0" applyNumberFormat="1" applyFont="1" applyFill="1" applyBorder="1" applyAlignment="1" applyProtection="1">
      <alignment horizontal="center" vertical="top"/>
    </xf>
    <xf numFmtId="0" fontId="23" fillId="0" borderId="0" xfId="0" applyFont="1" applyFill="1" applyProtection="1"/>
    <xf numFmtId="0" fontId="23" fillId="0" borderId="0" xfId="0" applyFont="1" applyAlignment="1">
      <alignment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center" vertical="center"/>
    </xf>
    <xf numFmtId="4" fontId="11" fillId="23" borderId="2" xfId="1" applyNumberFormat="1" applyFont="1" applyFill="1" applyBorder="1" applyAlignment="1" applyProtection="1">
      <alignment horizontal="center" vertical="center" wrapText="1"/>
    </xf>
    <xf numFmtId="4" fontId="11" fillId="23" borderId="31" xfId="1" applyNumberFormat="1" applyFont="1" applyFill="1" applyBorder="1" applyAlignment="1" applyProtection="1">
      <alignment horizontal="center" vertical="center" wrapText="1"/>
    </xf>
    <xf numFmtId="0" fontId="14" fillId="23" borderId="16" xfId="0" applyFont="1" applyFill="1" applyBorder="1" applyAlignment="1" applyProtection="1">
      <alignment horizontal="center" vertical="center"/>
    </xf>
    <xf numFmtId="0" fontId="14" fillId="23" borderId="17" xfId="0" applyFont="1" applyFill="1" applyBorder="1" applyAlignment="1" applyProtection="1">
      <alignment horizontal="center" vertical="center"/>
    </xf>
    <xf numFmtId="0" fontId="14" fillId="23" borderId="21" xfId="0" applyFont="1" applyFill="1" applyBorder="1" applyAlignment="1" applyProtection="1">
      <alignment horizontal="center" vertical="center"/>
    </xf>
    <xf numFmtId="4" fontId="11" fillId="23" borderId="12" xfId="1" applyNumberFormat="1" applyFont="1" applyFill="1" applyBorder="1" applyAlignment="1" applyProtection="1">
      <alignment horizontal="center" vertical="center" wrapText="1"/>
    </xf>
    <xf numFmtId="4" fontId="7" fillId="21" borderId="22" xfId="0" applyNumberFormat="1" applyFont="1" applyFill="1" applyBorder="1" applyAlignment="1">
      <alignment horizontal="left" vertical="top"/>
    </xf>
    <xf numFmtId="4" fontId="7" fillId="21" borderId="20" xfId="0" applyNumberFormat="1" applyFont="1" applyFill="1" applyBorder="1" applyAlignment="1">
      <alignment horizontal="left" vertical="top"/>
    </xf>
    <xf numFmtId="4" fontId="21" fillId="6" borderId="1" xfId="0" applyNumberFormat="1" applyFont="1" applyFill="1" applyBorder="1" applyAlignment="1" applyProtection="1">
      <alignment horizontal="left" vertical="top"/>
    </xf>
    <xf numFmtId="4" fontId="14" fillId="5" borderId="41" xfId="0" applyNumberFormat="1" applyFont="1" applyFill="1" applyBorder="1" applyAlignment="1" applyProtection="1">
      <alignment horizontal="left" vertical="top"/>
    </xf>
    <xf numFmtId="4" fontId="14" fillId="5" borderId="54" xfId="0" applyNumberFormat="1" applyFont="1" applyFill="1" applyBorder="1" applyAlignment="1" applyProtection="1">
      <alignment horizontal="left" vertical="top"/>
    </xf>
    <xf numFmtId="4" fontId="21" fillId="6" borderId="55" xfId="0" applyNumberFormat="1" applyFont="1" applyFill="1" applyBorder="1" applyAlignment="1" applyProtection="1">
      <alignment horizontal="left" vertical="top"/>
    </xf>
    <xf numFmtId="0" fontId="3" fillId="12" borderId="0" xfId="0" applyFont="1" applyFill="1" applyBorder="1" applyAlignment="1">
      <alignment vertical="top"/>
    </xf>
    <xf numFmtId="0" fontId="24" fillId="12" borderId="0" xfId="0" applyFont="1" applyFill="1" applyBorder="1" applyAlignment="1">
      <alignment horizontal="center" vertical="top"/>
    </xf>
    <xf numFmtId="0" fontId="9" fillId="12" borderId="0" xfId="0" applyFont="1" applyFill="1" applyBorder="1" applyAlignment="1">
      <alignment horizontal="center" vertical="top"/>
    </xf>
    <xf numFmtId="0" fontId="0" fillId="0" borderId="0" xfId="0" applyProtection="1">
      <protection locked="0"/>
    </xf>
    <xf numFmtId="0" fontId="23" fillId="0" borderId="0" xfId="0" applyFont="1" applyAlignment="1">
      <alignment vertical="center" wrapText="1"/>
    </xf>
    <xf numFmtId="0" fontId="0" fillId="23" borderId="11" xfId="0" applyFont="1" applyFill="1" applyBorder="1" applyAlignment="1" applyProtection="1">
      <alignment horizontal="center" vertical="top"/>
      <protection locked="0"/>
    </xf>
    <xf numFmtId="0" fontId="0" fillId="23" borderId="1" xfId="0" applyFont="1" applyFill="1" applyBorder="1" applyAlignment="1" applyProtection="1">
      <alignment horizontal="center" vertical="top"/>
      <protection locked="0"/>
    </xf>
    <xf numFmtId="4" fontId="19" fillId="20" borderId="9" xfId="0" applyNumberFormat="1" applyFont="1" applyFill="1" applyBorder="1" applyAlignment="1" applyProtection="1">
      <alignment horizontal="center" vertical="top"/>
      <protection locked="0"/>
    </xf>
    <xf numFmtId="0" fontId="5" fillId="21" borderId="26" xfId="1" applyFont="1" applyFill="1" applyBorder="1" applyAlignment="1" applyProtection="1">
      <alignment vertical="top" wrapText="1"/>
      <protection locked="0"/>
    </xf>
    <xf numFmtId="0" fontId="11" fillId="24" borderId="8" xfId="1" applyFont="1" applyFill="1" applyBorder="1" applyAlignment="1" applyProtection="1">
      <alignment horizontal="left" vertical="center" wrapText="1"/>
    </xf>
    <xf numFmtId="166" fontId="12" fillId="24" borderId="57" xfId="1" applyNumberFormat="1" applyFont="1" applyFill="1" applyBorder="1" applyAlignment="1" applyProtection="1">
      <alignment horizontal="center" vertical="center" wrapText="1"/>
    </xf>
    <xf numFmtId="0" fontId="3" fillId="24" borderId="9" xfId="0" applyFont="1" applyFill="1" applyBorder="1" applyAlignment="1" applyProtection="1">
      <alignment horizontal="center" vertical="center" wrapText="1"/>
    </xf>
    <xf numFmtId="2" fontId="12" fillId="24" borderId="57" xfId="1" applyNumberFormat="1" applyFont="1" applyFill="1" applyBorder="1" applyAlignment="1" applyProtection="1">
      <alignment horizontal="center" vertical="center" wrapText="1"/>
    </xf>
    <xf numFmtId="0" fontId="14" fillId="23" borderId="48" xfId="0" applyFont="1" applyFill="1" applyBorder="1" applyAlignment="1" applyProtection="1">
      <alignment horizontal="left" vertical="top"/>
    </xf>
    <xf numFmtId="4" fontId="11" fillId="23" borderId="11" xfId="1" applyNumberFormat="1" applyFont="1" applyFill="1" applyBorder="1" applyAlignment="1" applyProtection="1">
      <alignment horizontal="center" vertical="top"/>
    </xf>
    <xf numFmtId="4" fontId="11" fillId="23" borderId="49" xfId="1" applyNumberFormat="1" applyFont="1" applyFill="1" applyBorder="1" applyAlignment="1" applyProtection="1">
      <alignment horizontal="center" vertical="top"/>
    </xf>
    <xf numFmtId="4" fontId="2" fillId="7" borderId="12" xfId="1" applyNumberFormat="1" applyFont="1" applyFill="1" applyBorder="1" applyAlignment="1" applyProtection="1">
      <alignment horizontal="center" vertical="top" wrapText="1"/>
    </xf>
    <xf numFmtId="4" fontId="2" fillId="7" borderId="2" xfId="1" applyNumberFormat="1" applyFont="1" applyFill="1" applyBorder="1" applyAlignment="1" applyProtection="1">
      <alignment horizontal="center" vertical="top" wrapText="1"/>
    </xf>
    <xf numFmtId="4" fontId="9" fillId="11" borderId="31" xfId="0" applyNumberFormat="1" applyFont="1" applyFill="1" applyBorder="1" applyAlignment="1">
      <alignment horizontal="center" vertical="top"/>
    </xf>
    <xf numFmtId="4" fontId="2" fillId="21" borderId="12" xfId="1" applyNumberFormat="1" applyFont="1" applyFill="1" applyBorder="1" applyAlignment="1" applyProtection="1">
      <alignment horizontal="center" vertical="top" wrapText="1"/>
    </xf>
    <xf numFmtId="4" fontId="2" fillId="21" borderId="2" xfId="1" applyNumberFormat="1" applyFont="1" applyFill="1" applyBorder="1" applyAlignment="1" applyProtection="1">
      <alignment horizontal="center" vertical="top" wrapText="1"/>
    </xf>
    <xf numFmtId="4" fontId="2" fillId="21" borderId="31" xfId="1" applyNumberFormat="1" applyFont="1" applyFill="1" applyBorder="1" applyAlignment="1" applyProtection="1">
      <alignment horizontal="center" vertical="top" wrapText="1"/>
    </xf>
    <xf numFmtId="4" fontId="0" fillId="21" borderId="11" xfId="0" applyNumberFormat="1" applyFont="1" applyFill="1" applyBorder="1" applyAlignment="1">
      <alignment horizontal="center" vertical="top"/>
    </xf>
    <xf numFmtId="4" fontId="0" fillId="21" borderId="1" xfId="0" applyNumberFormat="1" applyFont="1" applyFill="1" applyBorder="1" applyAlignment="1">
      <alignment horizontal="center" vertical="top"/>
    </xf>
    <xf numFmtId="4" fontId="5" fillId="21" borderId="27" xfId="1" applyNumberFormat="1" applyFont="1" applyFill="1" applyBorder="1" applyAlignment="1" applyProtection="1">
      <alignment vertical="top" wrapText="1"/>
    </xf>
    <xf numFmtId="4" fontId="5" fillId="22" borderId="27" xfId="1" applyNumberFormat="1" applyFont="1" applyFill="1" applyBorder="1" applyAlignment="1" applyProtection="1">
      <alignment vertical="top" wrapText="1"/>
    </xf>
    <xf numFmtId="4" fontId="0" fillId="0" borderId="0" xfId="0" applyNumberFormat="1" applyAlignment="1">
      <alignment vertical="top"/>
    </xf>
    <xf numFmtId="4" fontId="2" fillId="5" borderId="12" xfId="1" applyNumberFormat="1" applyFont="1" applyFill="1" applyBorder="1" applyAlignment="1" applyProtection="1">
      <alignment horizontal="center" vertical="top" wrapText="1"/>
    </xf>
    <xf numFmtId="4" fontId="2" fillId="5" borderId="2" xfId="1" applyNumberFormat="1" applyFont="1" applyFill="1" applyBorder="1" applyAlignment="1" applyProtection="1">
      <alignment horizontal="center" vertical="top" wrapText="1"/>
    </xf>
    <xf numFmtId="4" fontId="2" fillId="5" borderId="31" xfId="1" applyNumberFormat="1" applyFont="1" applyFill="1" applyBorder="1" applyAlignment="1" applyProtection="1">
      <alignment horizontal="center" vertical="top" wrapText="1"/>
    </xf>
    <xf numFmtId="4" fontId="0" fillId="0" borderId="11" xfId="0" applyNumberFormat="1" applyFont="1" applyFill="1" applyBorder="1" applyAlignment="1">
      <alignment horizontal="center" vertical="top"/>
    </xf>
    <xf numFmtId="4" fontId="0" fillId="0" borderId="1" xfId="0" applyNumberFormat="1" applyFont="1" applyFill="1" applyBorder="1" applyAlignment="1">
      <alignment horizontal="center" vertical="top"/>
    </xf>
    <xf numFmtId="4" fontId="14" fillId="5" borderId="55" xfId="0" applyNumberFormat="1" applyFont="1" applyFill="1" applyBorder="1" applyAlignment="1" applyProtection="1">
      <alignment horizontal="left" vertical="top"/>
    </xf>
    <xf numFmtId="4" fontId="14" fillId="5" borderId="52" xfId="0" applyNumberFormat="1" applyFont="1" applyFill="1" applyBorder="1" applyAlignment="1" applyProtection="1">
      <alignment horizontal="center" vertical="top"/>
    </xf>
    <xf numFmtId="4" fontId="14" fillId="5" borderId="62" xfId="0" applyNumberFormat="1" applyFont="1" applyFill="1" applyBorder="1" applyAlignment="1" applyProtection="1">
      <alignment horizontal="center" vertical="top"/>
    </xf>
    <xf numFmtId="0" fontId="11" fillId="23" borderId="63" xfId="1" applyFont="1" applyFill="1" applyBorder="1" applyAlignment="1" applyProtection="1">
      <alignment horizontal="left" vertical="top" wrapText="1"/>
    </xf>
    <xf numFmtId="0" fontId="11" fillId="23" borderId="47" xfId="1" applyFont="1" applyFill="1" applyBorder="1" applyAlignment="1" applyProtection="1">
      <alignment horizontal="right" vertical="top" wrapText="1"/>
    </xf>
    <xf numFmtId="3" fontId="11" fillId="23" borderId="22" xfId="1" applyNumberFormat="1" applyFont="1" applyFill="1" applyBorder="1" applyAlignment="1" applyProtection="1">
      <alignment horizontal="center" vertical="center" wrapText="1"/>
    </xf>
    <xf numFmtId="3" fontId="11" fillId="23" borderId="0" xfId="1" applyNumberFormat="1" applyFont="1" applyFill="1" applyBorder="1" applyAlignment="1" applyProtection="1">
      <alignment horizontal="center" vertical="center" wrapText="1"/>
    </xf>
    <xf numFmtId="3" fontId="11" fillId="23" borderId="18" xfId="1" applyNumberFormat="1" applyFont="1" applyFill="1" applyBorder="1" applyAlignment="1" applyProtection="1">
      <alignment horizontal="center" vertical="center" wrapText="1"/>
    </xf>
    <xf numFmtId="3" fontId="15" fillId="23" borderId="43" xfId="1" applyNumberFormat="1" applyFont="1" applyFill="1" applyBorder="1" applyAlignment="1" applyProtection="1">
      <alignment horizontal="center" vertical="top" wrapText="1"/>
    </xf>
    <xf numFmtId="3" fontId="0" fillId="0" borderId="0" xfId="0" applyNumberFormat="1" applyAlignment="1" applyProtection="1">
      <alignment horizontal="center"/>
    </xf>
    <xf numFmtId="3" fontId="23" fillId="0" borderId="0" xfId="0" applyNumberFormat="1" applyFont="1" applyAlignment="1" applyProtection="1">
      <alignment horizontal="center" vertical="center"/>
    </xf>
    <xf numFmtId="3" fontId="23" fillId="0" borderId="0" xfId="0" applyNumberFormat="1" applyFont="1" applyAlignment="1">
      <alignment vertical="center" wrapText="1"/>
    </xf>
    <xf numFmtId="3" fontId="12" fillId="24" borderId="22" xfId="1" applyNumberFormat="1" applyFont="1" applyFill="1" applyBorder="1" applyAlignment="1" applyProtection="1">
      <alignment horizontal="center" vertical="center" wrapText="1"/>
    </xf>
    <xf numFmtId="165" fontId="12" fillId="24" borderId="22" xfId="1" applyNumberFormat="1" applyFont="1" applyFill="1" applyBorder="1" applyAlignment="1" applyProtection="1">
      <alignment horizontal="center" vertical="center" wrapText="1"/>
    </xf>
    <xf numFmtId="3" fontId="11" fillId="26" borderId="16" xfId="1" applyNumberFormat="1" applyFont="1" applyFill="1" applyBorder="1" applyAlignment="1" applyProtection="1">
      <alignment horizontal="center" vertical="top"/>
    </xf>
    <xf numFmtId="3" fontId="11" fillId="26" borderId="0" xfId="1" applyNumberFormat="1" applyFont="1" applyFill="1" applyBorder="1" applyAlignment="1" applyProtection="1">
      <alignment horizontal="center" vertical="top"/>
    </xf>
    <xf numFmtId="3" fontId="11" fillId="10" borderId="16" xfId="1" applyNumberFormat="1" applyFont="1" applyFill="1" applyBorder="1" applyAlignment="1" applyProtection="1">
      <alignment horizontal="center" vertical="top"/>
    </xf>
    <xf numFmtId="3" fontId="11" fillId="10" borderId="0" xfId="1" applyNumberFormat="1" applyFont="1" applyFill="1" applyBorder="1" applyAlignment="1" applyProtection="1">
      <alignment horizontal="center" vertical="top"/>
    </xf>
    <xf numFmtId="3" fontId="11" fillId="6" borderId="0" xfId="1" applyNumberFormat="1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center"/>
    </xf>
    <xf numFmtId="3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" fontId="12" fillId="24" borderId="22" xfId="1" applyNumberFormat="1" applyFont="1" applyFill="1" applyBorder="1" applyAlignment="1" applyProtection="1">
      <alignment horizontal="center" vertical="center" wrapText="1"/>
    </xf>
    <xf numFmtId="4" fontId="14" fillId="0" borderId="0" xfId="0" applyNumberFormat="1" applyFont="1" applyFill="1" applyBorder="1" applyAlignment="1" applyProtection="1">
      <alignment horizontal="center"/>
    </xf>
    <xf numFmtId="4" fontId="11" fillId="27" borderId="0" xfId="1" applyNumberFormat="1" applyFont="1" applyFill="1" applyBorder="1" applyAlignment="1" applyProtection="1">
      <alignment horizontal="center" vertical="top"/>
    </xf>
    <xf numFmtId="4" fontId="11" fillId="7" borderId="0" xfId="1" applyNumberFormat="1" applyFont="1" applyFill="1" applyBorder="1" applyAlignment="1" applyProtection="1">
      <alignment horizontal="center" vertical="top"/>
    </xf>
    <xf numFmtId="4" fontId="23" fillId="0" borderId="0" xfId="0" applyNumberFormat="1" applyFont="1" applyAlignment="1">
      <alignment vertical="center" wrapText="1"/>
    </xf>
    <xf numFmtId="0" fontId="14" fillId="0" borderId="16" xfId="0" applyFont="1" applyFill="1" applyBorder="1" applyAlignment="1" applyProtection="1">
      <alignment horizontal="center"/>
    </xf>
    <xf numFmtId="0" fontId="14" fillId="0" borderId="53" xfId="0" applyFont="1" applyFill="1" applyBorder="1" applyAlignment="1" applyProtection="1">
      <alignment horizontal="center"/>
    </xf>
    <xf numFmtId="3" fontId="11" fillId="6" borderId="16" xfId="1" applyNumberFormat="1" applyFont="1" applyFill="1" applyBorder="1" applyAlignment="1" applyProtection="1">
      <alignment horizontal="center" vertical="top"/>
    </xf>
    <xf numFmtId="3" fontId="11" fillId="6" borderId="53" xfId="1" applyNumberFormat="1" applyFont="1" applyFill="1" applyBorder="1" applyAlignment="1" applyProtection="1">
      <alignment horizontal="center" vertical="top"/>
    </xf>
    <xf numFmtId="0" fontId="11" fillId="23" borderId="62" xfId="1" applyFont="1" applyFill="1" applyBorder="1" applyAlignment="1" applyProtection="1">
      <alignment horizontal="left" vertical="top" wrapText="1"/>
    </xf>
    <xf numFmtId="0" fontId="11" fillId="23" borderId="65" xfId="1" applyFont="1" applyFill="1" applyBorder="1" applyAlignment="1" applyProtection="1">
      <alignment horizontal="right" vertical="top" wrapText="1"/>
    </xf>
    <xf numFmtId="3" fontId="0" fillId="0" borderId="0" xfId="0" applyNumberFormat="1" applyFill="1" applyProtection="1"/>
    <xf numFmtId="4" fontId="11" fillId="23" borderId="22" xfId="1" applyNumberFormat="1" applyFont="1" applyFill="1" applyBorder="1" applyAlignment="1" applyProtection="1">
      <alignment horizontal="center" vertical="center" wrapText="1"/>
    </xf>
    <xf numFmtId="4" fontId="11" fillId="23" borderId="25" xfId="1" applyNumberFormat="1" applyFont="1" applyFill="1" applyBorder="1" applyAlignment="1" applyProtection="1">
      <alignment horizontal="center" vertical="center" wrapText="1"/>
    </xf>
    <xf numFmtId="4" fontId="11" fillId="23" borderId="0" xfId="1" applyNumberFormat="1" applyFont="1" applyFill="1" applyBorder="1" applyAlignment="1" applyProtection="1">
      <alignment horizontal="center" vertical="center" wrapText="1"/>
    </xf>
    <xf numFmtId="4" fontId="11" fillId="23" borderId="4" xfId="1" applyNumberFormat="1" applyFont="1" applyFill="1" applyBorder="1" applyAlignment="1" applyProtection="1">
      <alignment horizontal="center" vertical="center" wrapText="1"/>
    </xf>
    <xf numFmtId="4" fontId="11" fillId="23" borderId="18" xfId="1" applyNumberFormat="1" applyFont="1" applyFill="1" applyBorder="1" applyAlignment="1" applyProtection="1">
      <alignment horizontal="center" vertical="center" wrapText="1"/>
    </xf>
    <xf numFmtId="4" fontId="11" fillId="23" borderId="33" xfId="1" applyNumberFormat="1" applyFont="1" applyFill="1" applyBorder="1" applyAlignment="1" applyProtection="1">
      <alignment horizontal="center" vertical="center" wrapText="1"/>
    </xf>
    <xf numFmtId="4" fontId="15" fillId="23" borderId="43" xfId="1" applyNumberFormat="1" applyFont="1" applyFill="1" applyBorder="1" applyAlignment="1" applyProtection="1">
      <alignment horizontal="center" vertical="top" wrapText="1"/>
    </xf>
    <xf numFmtId="0" fontId="11" fillId="24" borderId="56" xfId="1" applyFont="1" applyFill="1" applyBorder="1" applyAlignment="1" applyProtection="1">
      <alignment horizontal="center" vertical="center" wrapText="1"/>
    </xf>
    <xf numFmtId="4" fontId="11" fillId="23" borderId="13" xfId="1" applyNumberFormat="1" applyFont="1" applyFill="1" applyBorder="1" applyAlignment="1" applyProtection="1">
      <alignment horizontal="center" vertical="center" wrapText="1"/>
    </xf>
    <xf numFmtId="4" fontId="11" fillId="23" borderId="23" xfId="1" applyNumberFormat="1" applyFont="1" applyFill="1" applyBorder="1" applyAlignment="1" applyProtection="1">
      <alignment horizontal="center" vertical="center" wrapText="1"/>
    </xf>
    <xf numFmtId="4" fontId="11" fillId="23" borderId="32" xfId="1" applyNumberFormat="1" applyFont="1" applyFill="1" applyBorder="1" applyAlignment="1" applyProtection="1">
      <alignment horizontal="center" vertical="center" wrapText="1"/>
    </xf>
    <xf numFmtId="0" fontId="11" fillId="23" borderId="16" xfId="1" applyFont="1" applyFill="1" applyBorder="1" applyAlignment="1" applyProtection="1">
      <alignment horizontal="left" vertical="top" wrapText="1"/>
    </xf>
    <xf numFmtId="0" fontId="14" fillId="23" borderId="8" xfId="0" applyFont="1" applyFill="1" applyBorder="1" applyAlignment="1" applyProtection="1">
      <alignment horizontal="left" vertical="top"/>
    </xf>
    <xf numFmtId="4" fontId="11" fillId="23" borderId="56" xfId="1" applyNumberFormat="1" applyFont="1" applyFill="1" applyBorder="1" applyAlignment="1" applyProtection="1">
      <alignment horizontal="center" vertical="top"/>
    </xf>
    <xf numFmtId="2" fontId="12" fillId="28" borderId="15" xfId="1" applyNumberFormat="1" applyFont="1" applyFill="1" applyBorder="1" applyAlignment="1" applyProtection="1">
      <alignment horizontal="center" vertical="top" wrapText="1"/>
    </xf>
    <xf numFmtId="0" fontId="11" fillId="23" borderId="33" xfId="1" applyFont="1" applyFill="1" applyBorder="1" applyAlignment="1" applyProtection="1">
      <alignment horizontal="right" vertical="top" wrapText="1"/>
    </xf>
    <xf numFmtId="2" fontId="12" fillId="28" borderId="69" xfId="1" applyNumberFormat="1" applyFont="1" applyFill="1" applyBorder="1" applyAlignment="1" applyProtection="1">
      <alignment horizontal="center" vertical="top" wrapText="1"/>
    </xf>
    <xf numFmtId="0" fontId="20" fillId="23" borderId="56" xfId="1" applyFont="1" applyFill="1" applyBorder="1" applyAlignment="1" applyProtection="1">
      <alignment horizontal="left" vertical="top" wrapText="1"/>
    </xf>
    <xf numFmtId="165" fontId="12" fillId="13" borderId="66" xfId="1" applyNumberFormat="1" applyFont="1" applyFill="1" applyBorder="1" applyAlignment="1" applyProtection="1">
      <alignment horizontal="center" vertical="center" wrapText="1"/>
    </xf>
    <xf numFmtId="4" fontId="11" fillId="9" borderId="13" xfId="0" applyNumberFormat="1" applyFont="1" applyFill="1" applyBorder="1" applyAlignment="1" applyProtection="1">
      <alignment horizontal="center" vertical="top"/>
    </xf>
    <xf numFmtId="0" fontId="20" fillId="23" borderId="8" xfId="1" applyFont="1" applyFill="1" applyBorder="1" applyAlignment="1" applyProtection="1">
      <alignment horizontal="left" vertical="top" wrapText="1"/>
    </xf>
    <xf numFmtId="2" fontId="12" fillId="28" borderId="64" xfId="1" applyNumberFormat="1" applyFont="1" applyFill="1" applyBorder="1" applyAlignment="1" applyProtection="1">
      <alignment horizontal="center" vertical="top" wrapText="1"/>
    </xf>
    <xf numFmtId="4" fontId="26" fillId="14" borderId="52" xfId="0" applyNumberFormat="1" applyFont="1" applyFill="1" applyBorder="1" applyAlignment="1" applyProtection="1">
      <alignment horizontal="center" vertical="top"/>
    </xf>
    <xf numFmtId="0" fontId="3" fillId="9" borderId="69" xfId="1" applyFont="1" applyFill="1" applyBorder="1" applyAlignment="1" applyProtection="1">
      <alignment horizontal="left" vertical="top" wrapText="1"/>
      <protection locked="0"/>
    </xf>
    <xf numFmtId="0" fontId="3" fillId="5" borderId="0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center"/>
    </xf>
    <xf numFmtId="2" fontId="20" fillId="5" borderId="62" xfId="1" applyNumberFormat="1" applyFont="1" applyFill="1" applyBorder="1" applyAlignment="1" applyProtection="1">
      <alignment horizontal="left" vertical="top" wrapText="1"/>
    </xf>
    <xf numFmtId="2" fontId="20" fillId="5" borderId="65" xfId="1" applyNumberFormat="1" applyFont="1" applyFill="1" applyBorder="1" applyAlignment="1" applyProtection="1">
      <alignment horizontal="left" vertical="top" wrapText="1"/>
    </xf>
    <xf numFmtId="2" fontId="20" fillId="5" borderId="55" xfId="1" applyNumberFormat="1" applyFont="1" applyFill="1" applyBorder="1" applyAlignment="1" applyProtection="1">
      <alignment horizontal="left" vertical="top" wrapText="1"/>
    </xf>
    <xf numFmtId="0" fontId="3" fillId="5" borderId="18" xfId="0" applyFont="1" applyFill="1" applyBorder="1" applyAlignment="1" applyProtection="1">
      <alignment horizontal="left"/>
    </xf>
    <xf numFmtId="0" fontId="3" fillId="5" borderId="18" xfId="0" applyFont="1" applyFill="1" applyBorder="1" applyAlignment="1" applyProtection="1">
      <alignment horizontal="center"/>
    </xf>
    <xf numFmtId="2" fontId="20" fillId="5" borderId="55" xfId="1" applyNumberFormat="1" applyFont="1" applyFill="1" applyBorder="1" applyAlignment="1" applyProtection="1">
      <alignment horizontal="center" vertical="top" wrapText="1"/>
    </xf>
    <xf numFmtId="2" fontId="20" fillId="5" borderId="54" xfId="1" applyNumberFormat="1" applyFont="1" applyFill="1" applyBorder="1" applyAlignment="1" applyProtection="1">
      <alignment horizontal="right" vertical="top" wrapText="1"/>
    </xf>
    <xf numFmtId="2" fontId="20" fillId="5" borderId="65" xfId="1" applyNumberFormat="1" applyFont="1" applyFill="1" applyBorder="1" applyAlignment="1" applyProtection="1">
      <alignment horizontal="center" vertical="top" wrapText="1"/>
    </xf>
    <xf numFmtId="2" fontId="20" fillId="5" borderId="54" xfId="1" applyNumberFormat="1" applyFont="1" applyFill="1" applyBorder="1" applyAlignment="1" applyProtection="1">
      <alignment horizontal="center" vertical="top" wrapText="1"/>
    </xf>
    <xf numFmtId="2" fontId="20" fillId="5" borderId="63" xfId="1" applyNumberFormat="1" applyFont="1" applyFill="1" applyBorder="1" applyAlignment="1" applyProtection="1">
      <alignment horizontal="left" vertical="top" wrapText="1"/>
    </xf>
    <xf numFmtId="2" fontId="20" fillId="5" borderId="47" xfId="1" applyNumberFormat="1" applyFont="1" applyFill="1" applyBorder="1" applyAlignment="1" applyProtection="1">
      <alignment horizontal="left" vertical="top" wrapText="1"/>
    </xf>
    <xf numFmtId="2" fontId="20" fillId="5" borderId="46" xfId="1" applyNumberFormat="1" applyFont="1" applyFill="1" applyBorder="1" applyAlignment="1" applyProtection="1">
      <alignment horizontal="left" vertical="top" wrapText="1"/>
    </xf>
    <xf numFmtId="2" fontId="20" fillId="5" borderId="46" xfId="1" applyNumberFormat="1" applyFont="1" applyFill="1" applyBorder="1" applyAlignment="1" applyProtection="1">
      <alignment horizontal="center" vertical="top" wrapText="1"/>
    </xf>
    <xf numFmtId="2" fontId="20" fillId="5" borderId="3" xfId="1" applyNumberFormat="1" applyFont="1" applyFill="1" applyBorder="1" applyAlignment="1" applyProtection="1">
      <alignment horizontal="right" vertical="top" wrapText="1"/>
    </xf>
    <xf numFmtId="2" fontId="20" fillId="5" borderId="47" xfId="1" applyNumberFormat="1" applyFont="1" applyFill="1" applyBorder="1" applyAlignment="1" applyProtection="1">
      <alignment horizontal="center" vertical="top" wrapText="1"/>
    </xf>
    <xf numFmtId="2" fontId="20" fillId="5" borderId="3" xfId="1" applyNumberFormat="1" applyFont="1" applyFill="1" applyBorder="1" applyAlignment="1" applyProtection="1">
      <alignment horizontal="center" vertical="top" wrapText="1"/>
    </xf>
    <xf numFmtId="4" fontId="15" fillId="23" borderId="57" xfId="1" applyNumberFormat="1" applyFont="1" applyFill="1" applyBorder="1" applyAlignment="1" applyProtection="1">
      <alignment horizontal="center" vertical="top" wrapText="1"/>
    </xf>
    <xf numFmtId="4" fontId="0" fillId="0" borderId="0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center"/>
    </xf>
    <xf numFmtId="2" fontId="20" fillId="5" borderId="61" xfId="1" applyNumberFormat="1" applyFont="1" applyFill="1" applyBorder="1" applyAlignment="1" applyProtection="1">
      <alignment horizontal="left" vertical="top" wrapText="1"/>
    </xf>
    <xf numFmtId="4" fontId="11" fillId="23" borderId="71" xfId="1" applyNumberFormat="1" applyFont="1" applyFill="1" applyBorder="1" applyAlignment="1" applyProtection="1">
      <alignment horizontal="center" vertical="center" wrapText="1"/>
    </xf>
    <xf numFmtId="4" fontId="11" fillId="23" borderId="72" xfId="1" applyNumberFormat="1" applyFont="1" applyFill="1" applyBorder="1" applyAlignment="1" applyProtection="1">
      <alignment horizontal="center" vertical="center" wrapText="1"/>
    </xf>
    <xf numFmtId="4" fontId="11" fillId="23" borderId="68" xfId="1" applyNumberFormat="1" applyFont="1" applyFill="1" applyBorder="1" applyAlignment="1" applyProtection="1">
      <alignment horizontal="center" vertical="center" wrapText="1"/>
    </xf>
    <xf numFmtId="4" fontId="12" fillId="24" borderId="71" xfId="1" applyNumberFormat="1" applyFont="1" applyFill="1" applyBorder="1" applyAlignment="1" applyProtection="1">
      <alignment horizontal="center" vertical="center" wrapText="1"/>
    </xf>
    <xf numFmtId="4" fontId="14" fillId="0" borderId="72" xfId="0" applyNumberFormat="1" applyFont="1" applyFill="1" applyBorder="1" applyAlignment="1" applyProtection="1">
      <alignment horizontal="center"/>
    </xf>
    <xf numFmtId="4" fontId="11" fillId="25" borderId="72" xfId="1" applyNumberFormat="1" applyFont="1" applyFill="1" applyBorder="1" applyAlignment="1" applyProtection="1">
      <alignment horizontal="center" vertical="top"/>
    </xf>
    <xf numFmtId="4" fontId="11" fillId="25" borderId="73" xfId="1" applyNumberFormat="1" applyFont="1" applyFill="1" applyBorder="1" applyAlignment="1" applyProtection="1">
      <alignment horizontal="center" vertical="top"/>
    </xf>
    <xf numFmtId="4" fontId="15" fillId="23" borderId="70" xfId="1" applyNumberFormat="1" applyFont="1" applyFill="1" applyBorder="1" applyAlignment="1" applyProtection="1">
      <alignment horizontal="center" vertical="top" wrapText="1"/>
    </xf>
    <xf numFmtId="4" fontId="0" fillId="0" borderId="72" xfId="0" applyNumberFormat="1" applyBorder="1" applyAlignment="1" applyProtection="1">
      <alignment horizontal="center"/>
    </xf>
    <xf numFmtId="4" fontId="0" fillId="0" borderId="68" xfId="0" applyNumberFormat="1" applyBorder="1" applyAlignment="1" applyProtection="1">
      <alignment horizontal="center"/>
    </xf>
    <xf numFmtId="0" fontId="11" fillId="23" borderId="50" xfId="1" applyFont="1" applyFill="1" applyBorder="1" applyAlignment="1" applyProtection="1">
      <alignment vertical="top" wrapText="1"/>
    </xf>
    <xf numFmtId="0" fontId="25" fillId="5" borderId="60" xfId="1" applyFont="1" applyFill="1" applyBorder="1" applyAlignment="1" applyProtection="1">
      <alignment vertical="top" wrapText="1"/>
      <protection locked="0"/>
    </xf>
    <xf numFmtId="0" fontId="25" fillId="5" borderId="61" xfId="1" applyFont="1" applyFill="1" applyBorder="1" applyAlignment="1" applyProtection="1">
      <alignment vertical="top" wrapText="1"/>
      <protection locked="0"/>
    </xf>
    <xf numFmtId="0" fontId="11" fillId="0" borderId="50" xfId="1" applyFont="1" applyFill="1" applyBorder="1" applyAlignment="1" applyProtection="1">
      <alignment vertical="top" wrapText="1"/>
    </xf>
    <xf numFmtId="0" fontId="11" fillId="0" borderId="51" xfId="1" applyFont="1" applyFill="1" applyBorder="1" applyAlignment="1" applyProtection="1">
      <alignment vertical="top" wrapText="1"/>
    </xf>
    <xf numFmtId="2" fontId="20" fillId="5" borderId="60" xfId="1" applyNumberFormat="1" applyFont="1" applyFill="1" applyBorder="1" applyAlignment="1" applyProtection="1">
      <alignment horizontal="left" vertical="top" wrapText="1"/>
    </xf>
    <xf numFmtId="2" fontId="20" fillId="5" borderId="7" xfId="1" applyNumberFormat="1" applyFont="1" applyFill="1" applyBorder="1" applyAlignment="1" applyProtection="1">
      <alignment vertical="top" wrapText="1"/>
    </xf>
    <xf numFmtId="4" fontId="11" fillId="15" borderId="48" xfId="0" applyNumberFormat="1" applyFont="1" applyFill="1" applyBorder="1" applyAlignment="1" applyProtection="1">
      <alignment horizontal="center" vertical="top"/>
    </xf>
    <xf numFmtId="4" fontId="11" fillId="15" borderId="7" xfId="0" applyNumberFormat="1" applyFont="1" applyFill="1" applyBorder="1" applyAlignment="1" applyProtection="1">
      <alignment horizontal="left" vertical="top"/>
    </xf>
    <xf numFmtId="4" fontId="11" fillId="15" borderId="52" xfId="0" applyNumberFormat="1" applyFont="1" applyFill="1" applyBorder="1" applyAlignment="1" applyProtection="1">
      <alignment horizontal="center" vertical="top"/>
    </xf>
    <xf numFmtId="4" fontId="11" fillId="15" borderId="41" xfId="0" applyNumberFormat="1" applyFont="1" applyFill="1" applyBorder="1" applyAlignment="1" applyProtection="1">
      <alignment horizontal="left" vertical="top"/>
    </xf>
    <xf numFmtId="4" fontId="11" fillId="15" borderId="59" xfId="0" applyNumberFormat="1" applyFont="1" applyFill="1" applyBorder="1" applyAlignment="1" applyProtection="1">
      <alignment horizontal="center" vertical="top"/>
    </xf>
    <xf numFmtId="4" fontId="11" fillId="15" borderId="44" xfId="0" applyNumberFormat="1" applyFont="1" applyFill="1" applyBorder="1" applyAlignment="1" applyProtection="1">
      <alignment horizontal="left" vertical="top"/>
    </xf>
    <xf numFmtId="0" fontId="20" fillId="29" borderId="8" xfId="1" applyFont="1" applyFill="1" applyBorder="1" applyAlignment="1" applyProtection="1">
      <alignment horizontal="left" vertical="top" wrapText="1"/>
    </xf>
    <xf numFmtId="0" fontId="20" fillId="29" borderId="56" xfId="1" applyFont="1" applyFill="1" applyBorder="1" applyAlignment="1" applyProtection="1">
      <alignment horizontal="left" vertical="top" wrapText="1"/>
    </xf>
    <xf numFmtId="4" fontId="15" fillId="29" borderId="66" xfId="1" applyNumberFormat="1" applyFont="1" applyFill="1" applyBorder="1" applyAlignment="1" applyProtection="1">
      <alignment horizontal="center" vertical="top" wrapText="1"/>
    </xf>
    <xf numFmtId="4" fontId="11" fillId="9" borderId="15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Protection="1"/>
    <xf numFmtId="4" fontId="20" fillId="5" borderId="49" xfId="1" applyNumberFormat="1" applyFont="1" applyFill="1" applyBorder="1" applyAlignment="1" applyProtection="1">
      <alignment vertical="top" wrapText="1"/>
    </xf>
    <xf numFmtId="4" fontId="20" fillId="5" borderId="65" xfId="1" applyNumberFormat="1" applyFont="1" applyFill="1" applyBorder="1" applyAlignment="1" applyProtection="1">
      <alignment horizontal="left" vertical="top" wrapText="1"/>
    </xf>
    <xf numFmtId="4" fontId="14" fillId="27" borderId="41" xfId="0" applyNumberFormat="1" applyFont="1" applyFill="1" applyBorder="1" applyAlignment="1" applyProtection="1">
      <alignment horizontal="left" vertical="top"/>
      <protection locked="0"/>
    </xf>
    <xf numFmtId="4" fontId="14" fillId="27" borderId="28" xfId="0" applyNumberFormat="1" applyFont="1" applyFill="1" applyBorder="1" applyAlignment="1" applyProtection="1">
      <alignment horizontal="left" vertical="top"/>
      <protection locked="0"/>
    </xf>
    <xf numFmtId="0" fontId="22" fillId="23" borderId="21" xfId="1" applyFont="1" applyFill="1" applyBorder="1" applyAlignment="1" applyProtection="1">
      <alignment horizontal="center" vertical="center" wrapText="1"/>
    </xf>
    <xf numFmtId="0" fontId="22" fillId="23" borderId="22" xfId="1" applyFont="1" applyFill="1" applyBorder="1" applyAlignment="1" applyProtection="1">
      <alignment horizontal="center" vertical="center" wrapText="1"/>
    </xf>
    <xf numFmtId="0" fontId="22" fillId="23" borderId="20" xfId="1" applyFont="1" applyFill="1" applyBorder="1" applyAlignment="1" applyProtection="1">
      <alignment horizontal="center" vertical="center" wrapText="1"/>
    </xf>
    <xf numFmtId="2" fontId="20" fillId="29" borderId="36" xfId="1" applyNumberFormat="1" applyFont="1" applyFill="1" applyBorder="1" applyAlignment="1" applyProtection="1">
      <alignment horizontal="left" vertical="top" wrapText="1"/>
    </xf>
    <xf numFmtId="2" fontId="20" fillId="29" borderId="46" xfId="1" applyNumberFormat="1" applyFont="1" applyFill="1" applyBorder="1" applyAlignment="1" applyProtection="1">
      <alignment horizontal="left" vertical="top" wrapText="1"/>
    </xf>
    <xf numFmtId="2" fontId="20" fillId="29" borderId="52" xfId="1" applyNumberFormat="1" applyFont="1" applyFill="1" applyBorder="1" applyAlignment="1" applyProtection="1">
      <alignment horizontal="left" vertical="top" wrapText="1"/>
    </xf>
    <xf numFmtId="2" fontId="20" fillId="29" borderId="42" xfId="1" applyNumberFormat="1" applyFont="1" applyFill="1" applyBorder="1" applyAlignment="1" applyProtection="1">
      <alignment horizontal="left" vertical="top" wrapText="1"/>
    </xf>
    <xf numFmtId="2" fontId="20" fillId="29" borderId="62" xfId="1" applyNumberFormat="1" applyFont="1" applyFill="1" applyBorder="1" applyAlignment="1" applyProtection="1">
      <alignment horizontal="left" vertical="top" wrapText="1"/>
    </xf>
    <xf numFmtId="2" fontId="20" fillId="29" borderId="65" xfId="1" applyNumberFormat="1" applyFont="1" applyFill="1" applyBorder="1" applyAlignment="1" applyProtection="1">
      <alignment horizontal="left" vertical="top" wrapText="1"/>
    </xf>
    <xf numFmtId="0" fontId="22" fillId="23" borderId="17" xfId="1" applyFont="1" applyFill="1" applyBorder="1" applyAlignment="1" applyProtection="1">
      <alignment horizontal="center" vertical="center" wrapText="1"/>
    </xf>
    <xf numFmtId="0" fontId="22" fillId="23" borderId="18" xfId="1" applyFont="1" applyFill="1" applyBorder="1" applyAlignment="1" applyProtection="1">
      <alignment horizontal="center" vertical="center" wrapText="1"/>
    </xf>
    <xf numFmtId="0" fontId="22" fillId="23" borderId="19" xfId="1" applyFont="1" applyFill="1" applyBorder="1" applyAlignment="1" applyProtection="1">
      <alignment horizontal="center" vertical="center" wrapText="1"/>
    </xf>
    <xf numFmtId="49" fontId="14" fillId="27" borderId="41" xfId="0" applyNumberFormat="1" applyFont="1" applyFill="1" applyBorder="1" applyAlignment="1" applyProtection="1">
      <alignment horizontal="left" vertical="top" wrapText="1"/>
      <protection locked="0"/>
    </xf>
    <xf numFmtId="49" fontId="14" fillId="27" borderId="67" xfId="0" applyNumberFormat="1" applyFont="1" applyFill="1" applyBorder="1" applyAlignment="1" applyProtection="1">
      <alignment horizontal="left" vertical="top" wrapText="1"/>
      <protection locked="0"/>
    </xf>
    <xf numFmtId="0" fontId="11" fillId="24" borderId="8" xfId="1" applyFont="1" applyFill="1" applyBorder="1" applyAlignment="1" applyProtection="1">
      <alignment horizontal="center" vertical="center" wrapText="1"/>
    </xf>
    <xf numFmtId="0" fontId="11" fillId="24" borderId="10" xfId="1" applyFont="1" applyFill="1" applyBorder="1" applyAlignment="1" applyProtection="1">
      <alignment horizontal="center" vertical="center" wrapText="1"/>
    </xf>
    <xf numFmtId="4" fontId="11" fillId="21" borderId="2" xfId="0" applyNumberFormat="1" applyFont="1" applyFill="1" applyBorder="1" applyAlignment="1" applyProtection="1">
      <alignment horizontal="center" vertical="top"/>
    </xf>
    <xf numFmtId="4" fontId="11" fillId="21" borderId="31" xfId="0" applyNumberFormat="1" applyFont="1" applyFill="1" applyBorder="1" applyAlignment="1" applyProtection="1">
      <alignment horizontal="center" vertical="top"/>
    </xf>
    <xf numFmtId="165" fontId="11" fillId="22" borderId="6" xfId="0" applyNumberFormat="1" applyFont="1" applyFill="1" applyBorder="1" applyAlignment="1" applyProtection="1">
      <alignment horizontal="center" vertical="top"/>
    </xf>
    <xf numFmtId="165" fontId="11" fillId="22" borderId="0" xfId="0" applyNumberFormat="1" applyFont="1" applyFill="1" applyBorder="1" applyAlignment="1" applyProtection="1">
      <alignment horizontal="center" vertical="top"/>
    </xf>
    <xf numFmtId="4" fontId="15" fillId="23" borderId="58" xfId="1" applyNumberFormat="1" applyFont="1" applyFill="1" applyBorder="1" applyAlignment="1" applyProtection="1">
      <alignment horizontal="center" vertical="top" wrapText="1"/>
    </xf>
    <xf numFmtId="4" fontId="15" fillId="23" borderId="9" xfId="1" applyNumberFormat="1" applyFont="1" applyFill="1" applyBorder="1" applyAlignment="1" applyProtection="1">
      <alignment horizontal="center" vertical="top" wrapText="1"/>
    </xf>
    <xf numFmtId="4" fontId="15" fillId="23" borderId="56" xfId="1" applyNumberFormat="1" applyFont="1" applyFill="1" applyBorder="1" applyAlignment="1" applyProtection="1">
      <alignment horizontal="center" vertical="top" wrapText="1"/>
    </xf>
    <xf numFmtId="4" fontId="15" fillId="23" borderId="10" xfId="1" applyNumberFormat="1" applyFont="1" applyFill="1" applyBorder="1" applyAlignment="1" applyProtection="1">
      <alignment horizontal="center" vertical="top" wrapText="1"/>
    </xf>
    <xf numFmtId="3" fontId="15" fillId="23" borderId="52" xfId="1" applyNumberFormat="1" applyFont="1" applyFill="1" applyBorder="1" applyAlignment="1" applyProtection="1">
      <alignment horizontal="center" vertical="top" wrapText="1"/>
    </xf>
    <xf numFmtId="3" fontId="15" fillId="23" borderId="67" xfId="1" applyNumberFormat="1" applyFont="1" applyFill="1" applyBorder="1" applyAlignment="1" applyProtection="1">
      <alignment horizontal="center" vertical="top" wrapText="1"/>
    </xf>
    <xf numFmtId="3" fontId="11" fillId="13" borderId="59" xfId="0" applyNumberFormat="1" applyFont="1" applyFill="1" applyBorder="1" applyAlignment="1" applyProtection="1">
      <alignment horizontal="center" vertical="top"/>
    </xf>
    <xf numFmtId="3" fontId="11" fillId="13" borderId="28" xfId="0" applyNumberFormat="1" applyFont="1" applyFill="1" applyBorder="1" applyAlignment="1" applyProtection="1">
      <alignment horizontal="center" vertical="top"/>
    </xf>
    <xf numFmtId="0" fontId="11" fillId="23" borderId="48" xfId="1" applyFont="1" applyFill="1" applyBorder="1" applyAlignment="1" applyProtection="1">
      <alignment horizontal="right" vertical="top" wrapText="1"/>
    </xf>
    <xf numFmtId="0" fontId="11" fillId="23" borderId="49" xfId="1" applyFont="1" applyFill="1" applyBorder="1" applyAlignment="1" applyProtection="1">
      <alignment horizontal="right" vertical="top" wrapText="1"/>
    </xf>
    <xf numFmtId="0" fontId="11" fillId="0" borderId="7" xfId="1" applyFont="1" applyFill="1" applyBorder="1" applyAlignment="1" applyProtection="1">
      <alignment horizontal="left" vertical="top" wrapText="1"/>
    </xf>
    <xf numFmtId="0" fontId="11" fillId="0" borderId="50" xfId="1" applyFont="1" applyFill="1" applyBorder="1" applyAlignment="1" applyProtection="1">
      <alignment horizontal="left" vertical="top" wrapText="1"/>
    </xf>
    <xf numFmtId="0" fontId="25" fillId="5" borderId="54" xfId="1" applyFont="1" applyFill="1" applyBorder="1" applyAlignment="1" applyProtection="1">
      <alignment horizontal="left" vertical="top" wrapText="1"/>
      <protection locked="0"/>
    </xf>
    <xf numFmtId="0" fontId="25" fillId="5" borderId="60" xfId="1" applyFont="1" applyFill="1" applyBorder="1" applyAlignment="1" applyProtection="1">
      <alignment horizontal="left" vertical="top" wrapText="1"/>
      <protection locked="0"/>
    </xf>
    <xf numFmtId="3" fontId="11" fillId="23" borderId="21" xfId="1" applyNumberFormat="1" applyFont="1" applyFill="1" applyBorder="1" applyAlignment="1" applyProtection="1">
      <alignment horizontal="center" vertical="center" wrapText="1"/>
    </xf>
    <xf numFmtId="3" fontId="11" fillId="23" borderId="20" xfId="1" applyNumberFormat="1" applyFont="1" applyFill="1" applyBorder="1" applyAlignment="1" applyProtection="1">
      <alignment horizontal="center" vertical="center" wrapText="1"/>
    </xf>
    <xf numFmtId="4" fontId="11" fillId="23" borderId="24" xfId="1" applyNumberFormat="1" applyFont="1" applyFill="1" applyBorder="1" applyAlignment="1" applyProtection="1">
      <alignment horizontal="center" vertical="center" wrapText="1"/>
    </xf>
    <xf numFmtId="4" fontId="11" fillId="23" borderId="22" xfId="1" applyNumberFormat="1" applyFont="1" applyFill="1" applyBorder="1" applyAlignment="1" applyProtection="1">
      <alignment horizontal="center" vertical="center" wrapText="1"/>
    </xf>
    <xf numFmtId="4" fontId="11" fillId="23" borderId="25" xfId="1" applyNumberFormat="1" applyFont="1" applyFill="1" applyBorder="1" applyAlignment="1" applyProtection="1">
      <alignment horizontal="center" vertical="center" wrapText="1"/>
    </xf>
    <xf numFmtId="3" fontId="11" fillId="13" borderId="48" xfId="1" applyNumberFormat="1" applyFont="1" applyFill="1" applyBorder="1" applyAlignment="1" applyProtection="1">
      <alignment horizontal="center" vertical="top"/>
    </xf>
    <xf numFmtId="3" fontId="11" fillId="13" borderId="51" xfId="1" applyNumberFormat="1" applyFont="1" applyFill="1" applyBorder="1" applyAlignment="1" applyProtection="1">
      <alignment horizontal="center" vertical="top"/>
    </xf>
    <xf numFmtId="4" fontId="11" fillId="23" borderId="39" xfId="1" applyNumberFormat="1" applyFont="1" applyFill="1" applyBorder="1" applyAlignment="1" applyProtection="1">
      <alignment horizontal="center" vertical="center" wrapText="1"/>
    </xf>
    <xf numFmtId="4" fontId="11" fillId="23" borderId="18" xfId="1" applyNumberFormat="1" applyFont="1" applyFill="1" applyBorder="1" applyAlignment="1" applyProtection="1">
      <alignment horizontal="center" vertical="center" wrapText="1"/>
    </xf>
    <xf numFmtId="4" fontId="11" fillId="23" borderId="33" xfId="1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vertical="center" wrapText="1"/>
    </xf>
    <xf numFmtId="4" fontId="11" fillId="21" borderId="7" xfId="1" applyNumberFormat="1" applyFont="1" applyFill="1" applyBorder="1" applyAlignment="1" applyProtection="1">
      <alignment horizontal="center" vertical="top"/>
    </xf>
    <xf numFmtId="4" fontId="11" fillId="21" borderId="50" xfId="1" applyNumberFormat="1" applyFont="1" applyFill="1" applyBorder="1" applyAlignment="1" applyProtection="1">
      <alignment horizontal="center" vertical="top"/>
    </xf>
    <xf numFmtId="4" fontId="11" fillId="21" borderId="49" xfId="1" applyNumberFormat="1" applyFont="1" applyFill="1" applyBorder="1" applyAlignment="1" applyProtection="1">
      <alignment horizontal="center" vertical="top"/>
    </xf>
    <xf numFmtId="165" fontId="11" fillId="22" borderId="7" xfId="1" applyNumberFormat="1" applyFont="1" applyFill="1" applyBorder="1" applyAlignment="1" applyProtection="1">
      <alignment horizontal="center" vertical="top"/>
    </xf>
    <xf numFmtId="165" fontId="11" fillId="22" borderId="50" xfId="1" applyNumberFormat="1" applyFont="1" applyFill="1" applyBorder="1" applyAlignment="1" applyProtection="1">
      <alignment horizontal="center" vertical="top"/>
    </xf>
    <xf numFmtId="4" fontId="11" fillId="21" borderId="44" xfId="0" applyNumberFormat="1" applyFont="1" applyFill="1" applyBorder="1" applyAlignment="1" applyProtection="1">
      <alignment horizontal="center" vertical="top"/>
    </xf>
    <xf numFmtId="165" fontId="11" fillId="22" borderId="39" xfId="0" applyNumberFormat="1" applyFont="1" applyFill="1" applyBorder="1" applyAlignment="1" applyProtection="1">
      <alignment horizontal="center" vertical="top"/>
    </xf>
    <xf numFmtId="165" fontId="11" fillId="22" borderId="18" xfId="0" applyNumberFormat="1" applyFont="1" applyFill="1" applyBorder="1" applyAlignment="1" applyProtection="1">
      <alignment horizontal="center" vertical="top"/>
    </xf>
    <xf numFmtId="165" fontId="12" fillId="24" borderId="58" xfId="1" applyNumberFormat="1" applyFont="1" applyFill="1" applyBorder="1" applyAlignment="1" applyProtection="1">
      <alignment horizontal="center" vertical="center" wrapText="1"/>
    </xf>
    <xf numFmtId="165" fontId="12" fillId="24" borderId="9" xfId="1" applyNumberFormat="1" applyFont="1" applyFill="1" applyBorder="1" applyAlignment="1" applyProtection="1">
      <alignment horizontal="center" vertical="center" wrapText="1"/>
    </xf>
    <xf numFmtId="3" fontId="11" fillId="23" borderId="17" xfId="1" applyNumberFormat="1" applyFont="1" applyFill="1" applyBorder="1" applyAlignment="1" applyProtection="1">
      <alignment horizontal="center" vertical="center" wrapText="1"/>
    </xf>
    <xf numFmtId="3" fontId="11" fillId="23" borderId="19" xfId="1" applyNumberFormat="1" applyFont="1" applyFill="1" applyBorder="1" applyAlignment="1" applyProtection="1">
      <alignment horizontal="center" vertical="center" wrapText="1"/>
    </xf>
    <xf numFmtId="3" fontId="12" fillId="24" borderId="8" xfId="1" applyNumberFormat="1" applyFont="1" applyFill="1" applyBorder="1" applyAlignment="1" applyProtection="1">
      <alignment horizontal="center" vertical="center" wrapText="1"/>
    </xf>
    <xf numFmtId="3" fontId="12" fillId="24" borderId="10" xfId="1" applyNumberFormat="1" applyFont="1" applyFill="1" applyBorder="1" applyAlignment="1" applyProtection="1">
      <alignment horizontal="center" vertical="center" wrapText="1"/>
    </xf>
    <xf numFmtId="3" fontId="11" fillId="23" borderId="16" xfId="1" applyNumberFormat="1" applyFont="1" applyFill="1" applyBorder="1" applyAlignment="1" applyProtection="1">
      <alignment horizontal="center" vertical="center" wrapText="1"/>
    </xf>
    <xf numFmtId="3" fontId="11" fillId="23" borderId="53" xfId="1" applyNumberFormat="1" applyFont="1" applyFill="1" applyBorder="1" applyAlignment="1" applyProtection="1">
      <alignment horizontal="center" vertical="center" wrapText="1"/>
    </xf>
    <xf numFmtId="165" fontId="12" fillId="24" borderId="56" xfId="1" applyNumberFormat="1" applyFont="1" applyFill="1" applyBorder="1" applyAlignment="1" applyProtection="1">
      <alignment horizontal="center" vertical="center" wrapText="1"/>
    </xf>
    <xf numFmtId="4" fontId="11" fillId="23" borderId="6" xfId="1" applyNumberFormat="1" applyFont="1" applyFill="1" applyBorder="1" applyAlignment="1" applyProtection="1">
      <alignment horizontal="center" vertical="center" wrapText="1"/>
    </xf>
    <xf numFmtId="4" fontId="11" fillId="23" borderId="0" xfId="1" applyNumberFormat="1" applyFont="1" applyFill="1" applyBorder="1" applyAlignment="1" applyProtection="1">
      <alignment horizontal="center" vertical="center" wrapText="1"/>
    </xf>
    <xf numFmtId="4" fontId="11" fillId="23" borderId="4" xfId="1" applyNumberFormat="1" applyFont="1" applyFill="1" applyBorder="1" applyAlignment="1" applyProtection="1">
      <alignment horizontal="center" vertical="center" wrapText="1"/>
    </xf>
    <xf numFmtId="3" fontId="11" fillId="13" borderId="62" xfId="0" applyNumberFormat="1" applyFont="1" applyFill="1" applyBorder="1" applyAlignment="1" applyProtection="1">
      <alignment horizontal="center" vertical="top"/>
    </xf>
    <xf numFmtId="3" fontId="11" fillId="13" borderId="61" xfId="0" applyNumberFormat="1" applyFont="1" applyFill="1" applyBorder="1" applyAlignment="1" applyProtection="1">
      <alignment horizontal="center" vertical="top"/>
    </xf>
    <xf numFmtId="0" fontId="5" fillId="21" borderId="3" xfId="1" applyFont="1" applyFill="1" applyBorder="1" applyAlignment="1" applyProtection="1">
      <alignment horizontal="left" vertical="top" wrapText="1"/>
      <protection locked="0"/>
    </xf>
    <xf numFmtId="0" fontId="5" fillId="21" borderId="5" xfId="1" applyFont="1" applyFill="1" applyBorder="1" applyAlignment="1" applyProtection="1">
      <alignment horizontal="left" vertical="top" wrapText="1"/>
      <protection locked="0"/>
    </xf>
    <xf numFmtId="0" fontId="5" fillId="21" borderId="38" xfId="1" applyFont="1" applyFill="1" applyBorder="1" applyAlignment="1" applyProtection="1">
      <alignment horizontal="left" vertical="top" wrapText="1"/>
      <protection locked="0"/>
    </xf>
    <xf numFmtId="0" fontId="3" fillId="22" borderId="39" xfId="0" applyFont="1" applyFill="1" applyBorder="1" applyAlignment="1" applyProtection="1">
      <alignment horizontal="left" vertical="top"/>
      <protection locked="0"/>
    </xf>
    <xf numFmtId="0" fontId="3" fillId="22" borderId="18" xfId="0" applyFont="1" applyFill="1" applyBorder="1" applyAlignment="1" applyProtection="1">
      <alignment horizontal="left" vertical="top"/>
      <protection locked="0"/>
    </xf>
    <xf numFmtId="0" fontId="3" fillId="22" borderId="19" xfId="0" applyFont="1" applyFill="1" applyBorder="1" applyAlignment="1" applyProtection="1">
      <alignment horizontal="left" vertical="top"/>
      <protection locked="0"/>
    </xf>
    <xf numFmtId="0" fontId="0" fillId="23" borderId="8" xfId="0" applyFont="1" applyFill="1" applyBorder="1" applyAlignment="1">
      <alignment horizontal="center" vertical="top"/>
    </xf>
    <xf numFmtId="0" fontId="0" fillId="23" borderId="9" xfId="0" applyFont="1" applyFill="1" applyBorder="1" applyAlignment="1">
      <alignment horizontal="center" vertical="top"/>
    </xf>
    <xf numFmtId="0" fontId="0" fillId="23" borderId="10" xfId="0" applyFont="1" applyFill="1" applyBorder="1" applyAlignment="1">
      <alignment horizontal="center" vertical="top"/>
    </xf>
    <xf numFmtId="4" fontId="19" fillId="20" borderId="9" xfId="0" applyNumberFormat="1" applyFont="1" applyFill="1" applyBorder="1" applyAlignment="1">
      <alignment horizontal="left" vertical="top"/>
    </xf>
    <xf numFmtId="4" fontId="19" fillId="20" borderId="10" xfId="0" applyNumberFormat="1" applyFont="1" applyFill="1" applyBorder="1" applyAlignment="1">
      <alignment horizontal="left" vertical="top"/>
    </xf>
    <xf numFmtId="0" fontId="3" fillId="20" borderId="9" xfId="0" applyFont="1" applyFill="1" applyBorder="1" applyAlignment="1">
      <alignment horizontal="left" vertical="top"/>
    </xf>
    <xf numFmtId="0" fontId="3" fillId="20" borderId="10" xfId="0" applyFont="1" applyFill="1" applyBorder="1" applyAlignment="1">
      <alignment horizontal="left" vertical="top"/>
    </xf>
    <xf numFmtId="0" fontId="0" fillId="23" borderId="8" xfId="0" applyFill="1" applyBorder="1" applyAlignment="1">
      <alignment horizontal="center" vertical="top"/>
    </xf>
    <xf numFmtId="0" fontId="0" fillId="23" borderId="9" xfId="0" applyFill="1" applyBorder="1" applyAlignment="1">
      <alignment horizontal="center" vertical="top"/>
    </xf>
    <xf numFmtId="0" fontId="0" fillId="23" borderId="10" xfId="0" applyFill="1" applyBorder="1" applyAlignment="1">
      <alignment horizontal="center" vertical="top"/>
    </xf>
    <xf numFmtId="0" fontId="2" fillId="13" borderId="44" xfId="1" applyFont="1" applyFill="1" applyBorder="1" applyAlignment="1" applyProtection="1">
      <alignment horizontal="center" vertical="center" wrapText="1"/>
    </xf>
    <xf numFmtId="0" fontId="2" fillId="13" borderId="2" xfId="1" applyFont="1" applyFill="1" applyBorder="1" applyAlignment="1" applyProtection="1">
      <alignment horizontal="center" vertical="center" wrapText="1"/>
    </xf>
    <xf numFmtId="0" fontId="2" fillId="13" borderId="46" xfId="1" applyFont="1" applyFill="1" applyBorder="1" applyAlignment="1" applyProtection="1">
      <alignment horizontal="center" vertical="center" wrapText="1"/>
    </xf>
    <xf numFmtId="0" fontId="2" fillId="13" borderId="27" xfId="1" applyFont="1" applyFill="1" applyBorder="1" applyAlignment="1" applyProtection="1">
      <alignment horizontal="center" vertical="center" wrapText="1"/>
    </xf>
    <xf numFmtId="0" fontId="2" fillId="13" borderId="0" xfId="1" applyFont="1" applyFill="1" applyBorder="1" applyAlignment="1" applyProtection="1">
      <alignment horizontal="center" vertical="center" wrapText="1"/>
    </xf>
    <xf numFmtId="0" fontId="2" fillId="13" borderId="5" xfId="1" applyFont="1" applyFill="1" applyBorder="1" applyAlignment="1" applyProtection="1">
      <alignment horizontal="center" vertical="center" wrapText="1"/>
    </xf>
    <xf numFmtId="0" fontId="2" fillId="13" borderId="45" xfId="1" applyFont="1" applyFill="1" applyBorder="1" applyAlignment="1" applyProtection="1">
      <alignment horizontal="center" vertical="center" wrapText="1"/>
    </xf>
    <xf numFmtId="0" fontId="2" fillId="13" borderId="4" xfId="1" applyFont="1" applyFill="1" applyBorder="1" applyAlignment="1" applyProtection="1">
      <alignment horizontal="center" vertical="center" wrapText="1"/>
    </xf>
    <xf numFmtId="0" fontId="2" fillId="13" borderId="47" xfId="1" applyFont="1" applyFill="1" applyBorder="1" applyAlignment="1" applyProtection="1">
      <alignment horizontal="center" vertical="center" wrapText="1"/>
    </xf>
    <xf numFmtId="4" fontId="16" fillId="13" borderId="44" xfId="1" applyNumberFormat="1" applyFont="1" applyFill="1" applyBorder="1" applyAlignment="1" applyProtection="1">
      <alignment horizontal="center" vertical="center" wrapText="1"/>
    </xf>
    <xf numFmtId="4" fontId="16" fillId="13" borderId="2" xfId="1" applyNumberFormat="1" applyFont="1" applyFill="1" applyBorder="1" applyAlignment="1" applyProtection="1">
      <alignment horizontal="center" vertical="center" wrapText="1"/>
    </xf>
    <xf numFmtId="4" fontId="16" fillId="13" borderId="46" xfId="1" applyNumberFormat="1" applyFont="1" applyFill="1" applyBorder="1" applyAlignment="1" applyProtection="1">
      <alignment horizontal="center" vertical="center" wrapText="1"/>
    </xf>
    <xf numFmtId="4" fontId="14" fillId="13" borderId="0" xfId="0" applyNumberFormat="1" applyFont="1" applyFill="1" applyBorder="1" applyAlignment="1" applyProtection="1">
      <alignment horizontal="center"/>
    </xf>
    <xf numFmtId="165" fontId="11" fillId="22" borderId="26" xfId="0" applyNumberFormat="1" applyFont="1" applyFill="1" applyBorder="1" applyAlignment="1" applyProtection="1">
      <alignment horizontal="center" vertical="top"/>
    </xf>
    <xf numFmtId="165" fontId="11" fillId="22" borderId="27" xfId="0" applyNumberFormat="1" applyFont="1" applyFill="1" applyBorder="1" applyAlignment="1" applyProtection="1">
      <alignment horizontal="center" vertical="top"/>
    </xf>
  </cellXfs>
  <cellStyles count="2">
    <cellStyle name="Normální" xfId="0" builtinId="0"/>
    <cellStyle name="Normální 2" xfId="1"/>
  </cellStyles>
  <dxfs count="2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1E6C4"/>
      <color rgb="FFF9CBB1"/>
      <color rgb="FFCBD6ED"/>
      <color rgb="FFFFD44B"/>
      <color rgb="FFBFBFBF"/>
      <color rgb="FFFFCF37"/>
      <color rgb="FFF9D5BD"/>
      <color rgb="FFF9D584"/>
      <color rgb="FF50D2FF"/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2"/>
  <sheetViews>
    <sheetView showGridLines="0" tabSelected="1"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12.140625" defaultRowHeight="15" outlineLevelCol="1" x14ac:dyDescent="0.25"/>
  <cols>
    <col min="1" max="1" width="16.42578125" style="34" bestFit="1" customWidth="1"/>
    <col min="2" max="2" width="77.28515625" style="35" bestFit="1" customWidth="1"/>
    <col min="3" max="3" width="19.7109375" style="36" bestFit="1" customWidth="1"/>
    <col min="4" max="4" width="1.85546875" style="33" bestFit="1" customWidth="1"/>
    <col min="5" max="5" width="2.7109375" style="33" bestFit="1" customWidth="1"/>
    <col min="6" max="6" width="1.85546875" style="33" bestFit="1" customWidth="1"/>
    <col min="7" max="7" width="2.7109375" style="33" bestFit="1" customWidth="1"/>
    <col min="8" max="8" width="4.42578125" style="33" hidden="1" customWidth="1" outlineLevel="1"/>
    <col min="9" max="9" width="2.140625" style="33" hidden="1" customWidth="1" outlineLevel="1"/>
    <col min="10" max="10" width="2.7109375" style="33" hidden="1" customWidth="1" outlineLevel="1"/>
    <col min="11" max="11" width="1.85546875" style="33" hidden="1" customWidth="1" outlineLevel="1"/>
    <col min="12" max="12" width="3.5703125" style="33" bestFit="1" customWidth="1" collapsed="1"/>
    <col min="13" max="13" width="1.85546875" style="33" bestFit="1" customWidth="1"/>
    <col min="14" max="14" width="3.5703125" style="33" bestFit="1" customWidth="1"/>
    <col min="15" max="15" width="4.42578125" style="33" bestFit="1" customWidth="1"/>
    <col min="16" max="16384" width="12.140625" style="33"/>
  </cols>
  <sheetData>
    <row r="1" spans="1:3" s="31" customFormat="1" ht="23.25" x14ac:dyDescent="0.2">
      <c r="A1" s="357" t="s">
        <v>313</v>
      </c>
      <c r="B1" s="358"/>
      <c r="C1" s="359"/>
    </row>
    <row r="2" spans="1:3" s="31" customFormat="1" ht="24" thickBot="1" x14ac:dyDescent="0.25">
      <c r="A2" s="366" t="s">
        <v>309</v>
      </c>
      <c r="B2" s="367"/>
      <c r="C2" s="368"/>
    </row>
    <row r="3" spans="1:3" s="31" customFormat="1" ht="15.75" x14ac:dyDescent="0.2">
      <c r="A3" s="248"/>
      <c r="B3" s="249" t="s">
        <v>21</v>
      </c>
      <c r="C3" s="302" t="str">
        <f>IF('vystup_pracovního_listu-zadatel'!C3:P3&lt;&gt;"",'vystup_pracovního_listu-zadatel'!C3:P3,"")</f>
        <v/>
      </c>
    </row>
    <row r="4" spans="1:3" s="31" customFormat="1" ht="16.5" thickBot="1" x14ac:dyDescent="0.25">
      <c r="A4" s="290"/>
      <c r="B4" s="294" t="s">
        <v>22</v>
      </c>
      <c r="C4" s="302" t="str">
        <f>IF('vystup_pracovního_listu-zadatel'!C4:P4&lt;&gt;"",'vystup_pracovního_listu-zadatel'!C4:P4,"")</f>
        <v/>
      </c>
    </row>
    <row r="5" spans="1:3" s="192" customFormat="1" ht="15.75" x14ac:dyDescent="0.25">
      <c r="A5" s="205"/>
      <c r="B5" s="280"/>
      <c r="C5" s="287" t="s">
        <v>290</v>
      </c>
    </row>
    <row r="6" spans="1:3" s="192" customFormat="1" ht="15.75" x14ac:dyDescent="0.25">
      <c r="A6" s="203"/>
      <c r="B6" s="282"/>
      <c r="C6" s="288" t="s">
        <v>301</v>
      </c>
    </row>
    <row r="7" spans="1:3" s="192" customFormat="1" ht="16.5" thickBot="1" x14ac:dyDescent="0.3">
      <c r="A7" s="204"/>
      <c r="B7" s="284"/>
      <c r="C7" s="289" t="s">
        <v>302</v>
      </c>
    </row>
    <row r="8" spans="1:3" s="32" customFormat="1" ht="16.5" thickBot="1" x14ac:dyDescent="0.3">
      <c r="A8" s="291"/>
      <c r="B8" s="292" t="s">
        <v>37</v>
      </c>
      <c r="C8" s="297">
        <f>SUBTOTAL(9,C9:C36)</f>
        <v>50</v>
      </c>
    </row>
    <row r="9" spans="1:3" ht="15.75" x14ac:dyDescent="0.25">
      <c r="A9" s="342" t="str">
        <f>'01'!$G$2</f>
        <v>1.</v>
      </c>
      <c r="B9" s="343" t="str">
        <f>'01'!$H$2</f>
        <v>Datová integrace – plánování a řízení výroby</v>
      </c>
      <c r="C9" s="298">
        <f>'vystup_pracovního_listu-zadatel'!AC10</f>
        <v>5</v>
      </c>
    </row>
    <row r="10" spans="1:3" ht="30.75" customHeight="1" x14ac:dyDescent="0.25">
      <c r="A10" s="301" t="s">
        <v>307</v>
      </c>
      <c r="B10" s="369"/>
      <c r="C10" s="370"/>
    </row>
    <row r="11" spans="1:3" ht="31.5" customHeight="1" x14ac:dyDescent="0.25">
      <c r="A11" s="301" t="s">
        <v>308</v>
      </c>
      <c r="B11" s="355"/>
      <c r="C11" s="356"/>
    </row>
    <row r="12" spans="1:3" ht="15.75" x14ac:dyDescent="0.25">
      <c r="A12" s="344" t="str">
        <f>'02'!$G$2</f>
        <v>2.</v>
      </c>
      <c r="B12" s="345" t="str">
        <f>'02'!$H$2</f>
        <v>Datová integrace – sledování stavu strojů, zakázek 
a výkonu operátorů</v>
      </c>
      <c r="C12" s="351">
        <f>'vystup_pracovního_listu-zadatel'!AC11</f>
        <v>5</v>
      </c>
    </row>
    <row r="13" spans="1:3" ht="30.75" customHeight="1" x14ac:dyDescent="0.25">
      <c r="A13" s="301" t="s">
        <v>307</v>
      </c>
      <c r="B13" s="369"/>
      <c r="C13" s="370"/>
    </row>
    <row r="14" spans="1:3" ht="31.5" customHeight="1" x14ac:dyDescent="0.25">
      <c r="A14" s="301" t="s">
        <v>308</v>
      </c>
      <c r="B14" s="355"/>
      <c r="C14" s="356"/>
    </row>
    <row r="15" spans="1:3" ht="15.75" x14ac:dyDescent="0.25">
      <c r="A15" s="344" t="str">
        <f>'03'!$G$2</f>
        <v>3.</v>
      </c>
      <c r="B15" s="345" t="str">
        <f>'03'!$H$2</f>
        <v>Digitální dvojče, rozšířená realita, virtuální realita
– vývoj a konstrukce výrobku</v>
      </c>
      <c r="C15" s="351">
        <f>'vystup_pracovního_listu-zadatel'!AC12</f>
        <v>5</v>
      </c>
    </row>
    <row r="16" spans="1:3" ht="30.75" customHeight="1" x14ac:dyDescent="0.25">
      <c r="A16" s="301" t="s">
        <v>307</v>
      </c>
      <c r="B16" s="369"/>
      <c r="C16" s="370"/>
    </row>
    <row r="17" spans="1:3" ht="31.5" customHeight="1" x14ac:dyDescent="0.25">
      <c r="A17" s="301" t="s">
        <v>308</v>
      </c>
      <c r="B17" s="355"/>
      <c r="C17" s="356"/>
    </row>
    <row r="18" spans="1:3" ht="15.75" x14ac:dyDescent="0.25">
      <c r="A18" s="344" t="str">
        <f>'04'!$G$2</f>
        <v>4.</v>
      </c>
      <c r="B18" s="345" t="str">
        <f>'04'!$H$2</f>
        <v>Aditivní výroba a 3D tisk</v>
      </c>
      <c r="C18" s="351">
        <f>'vystup_pracovního_listu-zadatel'!AC13</f>
        <v>5</v>
      </c>
    </row>
    <row r="19" spans="1:3" ht="30.75" customHeight="1" x14ac:dyDescent="0.25">
      <c r="A19" s="301" t="s">
        <v>307</v>
      </c>
      <c r="B19" s="369"/>
      <c r="C19" s="370"/>
    </row>
    <row r="20" spans="1:3" ht="31.5" customHeight="1" x14ac:dyDescent="0.25">
      <c r="A20" s="301" t="s">
        <v>308</v>
      </c>
      <c r="B20" s="355"/>
      <c r="C20" s="356"/>
    </row>
    <row r="21" spans="1:3" ht="15.75" x14ac:dyDescent="0.25">
      <c r="A21" s="344" t="str">
        <f>'05'!$G$2</f>
        <v>5.</v>
      </c>
      <c r="B21" s="345" t="str">
        <f>'05'!$H$2</f>
        <v>IoT – výrobek IoT a identifikace mezi prvky systému</v>
      </c>
      <c r="C21" s="351">
        <f>'vystup_pracovního_listu-zadatel'!AC14</f>
        <v>5</v>
      </c>
    </row>
    <row r="22" spans="1:3" ht="30.75" customHeight="1" x14ac:dyDescent="0.25">
      <c r="A22" s="301" t="s">
        <v>307</v>
      </c>
      <c r="B22" s="369"/>
      <c r="C22" s="370"/>
    </row>
    <row r="23" spans="1:3" ht="31.5" customHeight="1" x14ac:dyDescent="0.25">
      <c r="A23" s="301" t="s">
        <v>308</v>
      </c>
      <c r="B23" s="355"/>
      <c r="C23" s="356"/>
    </row>
    <row r="24" spans="1:3" ht="15.75" x14ac:dyDescent="0.25">
      <c r="A24" s="344" t="str">
        <f>'06'!$G$2</f>
        <v>6.</v>
      </c>
      <c r="B24" s="345" t="str">
        <f>'06'!$H$2</f>
        <v>IoT – prediktivní údržba</v>
      </c>
      <c r="C24" s="351">
        <f>'vystup_pracovního_listu-zadatel'!AC15</f>
        <v>5</v>
      </c>
    </row>
    <row r="25" spans="1:3" ht="30.75" customHeight="1" x14ac:dyDescent="0.25">
      <c r="A25" s="301" t="s">
        <v>307</v>
      </c>
      <c r="B25" s="369"/>
      <c r="C25" s="370"/>
    </row>
    <row r="26" spans="1:3" ht="31.5" customHeight="1" x14ac:dyDescent="0.25">
      <c r="A26" s="301" t="s">
        <v>308</v>
      </c>
      <c r="B26" s="355"/>
      <c r="C26" s="356"/>
    </row>
    <row r="27" spans="1:3" ht="15.75" x14ac:dyDescent="0.25">
      <c r="A27" s="344" t="str">
        <f>'07'!$G$2</f>
        <v>7.</v>
      </c>
      <c r="B27" s="345" t="str">
        <f>'07'!$H$2</f>
        <v>Robotizace výrobních procesů a toků materiálu</v>
      </c>
      <c r="C27" s="351">
        <f>'vystup_pracovního_listu-zadatel'!AC16</f>
        <v>5</v>
      </c>
    </row>
    <row r="28" spans="1:3" ht="30.75" customHeight="1" x14ac:dyDescent="0.25">
      <c r="A28" s="301" t="s">
        <v>307</v>
      </c>
      <c r="B28" s="369"/>
      <c r="C28" s="370"/>
    </row>
    <row r="29" spans="1:3" ht="31.5" customHeight="1" x14ac:dyDescent="0.25">
      <c r="A29" s="301" t="s">
        <v>308</v>
      </c>
      <c r="B29" s="355"/>
      <c r="C29" s="356"/>
    </row>
    <row r="30" spans="1:3" ht="15.75" x14ac:dyDescent="0.25">
      <c r="A30" s="344" t="str">
        <f>'08'!$G$2</f>
        <v>8.</v>
      </c>
      <c r="B30" s="345" t="str">
        <f>'08'!$H$2</f>
        <v>Systémy využívající BigData</v>
      </c>
      <c r="C30" s="351">
        <f>'vystup_pracovního_listu-zadatel'!AC17</f>
        <v>5</v>
      </c>
    </row>
    <row r="31" spans="1:3" ht="30.75" customHeight="1" x14ac:dyDescent="0.25">
      <c r="A31" s="301" t="s">
        <v>307</v>
      </c>
      <c r="B31" s="369"/>
      <c r="C31" s="370"/>
    </row>
    <row r="32" spans="1:3" ht="31.5" customHeight="1" x14ac:dyDescent="0.25">
      <c r="A32" s="301" t="s">
        <v>308</v>
      </c>
      <c r="B32" s="355"/>
      <c r="C32" s="356"/>
    </row>
    <row r="33" spans="1:3" ht="15.75" x14ac:dyDescent="0.25">
      <c r="A33" s="344" t="str">
        <f>'09'!$G$2</f>
        <v>9.</v>
      </c>
      <c r="B33" s="345" t="str">
        <f>'09'!$H$2</f>
        <v>AI – Využití algoritmů umělé inteligence</v>
      </c>
      <c r="C33" s="351">
        <f>'vystup_pracovního_listu-zadatel'!AC18</f>
        <v>5</v>
      </c>
    </row>
    <row r="34" spans="1:3" ht="30.75" customHeight="1" x14ac:dyDescent="0.25">
      <c r="A34" s="301" t="s">
        <v>307</v>
      </c>
      <c r="B34" s="369"/>
      <c r="C34" s="370"/>
    </row>
    <row r="35" spans="1:3" ht="31.5" customHeight="1" x14ac:dyDescent="0.25">
      <c r="A35" s="301" t="s">
        <v>308</v>
      </c>
      <c r="B35" s="355"/>
      <c r="C35" s="356"/>
    </row>
    <row r="36" spans="1:3" ht="15.75" x14ac:dyDescent="0.25">
      <c r="A36" s="346" t="str">
        <f>'10'!$G$2</f>
        <v>10.</v>
      </c>
      <c r="B36" s="347" t="str">
        <f>'10'!$H$2</f>
        <v>Kybernetická bezpečnost</v>
      </c>
      <c r="C36" s="351">
        <f>'vystup_pracovního_listu-zadatel'!AC19</f>
        <v>5</v>
      </c>
    </row>
    <row r="37" spans="1:3" ht="30.75" customHeight="1" x14ac:dyDescent="0.25">
      <c r="A37" s="301" t="s">
        <v>307</v>
      </c>
      <c r="B37" s="369"/>
      <c r="C37" s="370"/>
    </row>
    <row r="38" spans="1:3" ht="31.5" customHeight="1" thickBot="1" x14ac:dyDescent="0.3">
      <c r="A38" s="301" t="s">
        <v>308</v>
      </c>
      <c r="B38" s="355"/>
      <c r="C38" s="356"/>
    </row>
    <row r="39" spans="1:3" s="31" customFormat="1" ht="16.5" thickBot="1" x14ac:dyDescent="0.25">
      <c r="A39" s="348"/>
      <c r="B39" s="349"/>
      <c r="C39" s="350"/>
    </row>
    <row r="40" spans="1:3" s="31" customFormat="1" ht="15.75" customHeight="1" x14ac:dyDescent="0.2">
      <c r="A40" s="360" t="s">
        <v>304</v>
      </c>
      <c r="B40" s="361"/>
      <c r="C40" s="295" t="str">
        <f>IF(C7&gt;=50,"ANO","NE")</f>
        <v>ANO</v>
      </c>
    </row>
    <row r="41" spans="1:3" s="31" customFormat="1" ht="15.75" customHeight="1" x14ac:dyDescent="0.2">
      <c r="A41" s="362" t="s">
        <v>305</v>
      </c>
      <c r="B41" s="363"/>
      <c r="C41" s="293" t="str">
        <f>IF(C8&gt;=50,"ANO","NE")</f>
        <v>ANO</v>
      </c>
    </row>
    <row r="42" spans="1:3" s="31" customFormat="1" ht="15.75" customHeight="1" thickBot="1" x14ac:dyDescent="0.25">
      <c r="A42" s="364" t="s">
        <v>306</v>
      </c>
      <c r="B42" s="365"/>
      <c r="C42" s="300" t="str">
        <f>IF(AND(C40="ano",C41="ano"),"Doporučen","Nedoporučen")</f>
        <v>Doporučen</v>
      </c>
    </row>
  </sheetData>
  <sheetProtection algorithmName="SHA-512" hashValue="N0gzFtmlGRknD7BZXoISQKp6n19GZ2Ft8Sk+Y4Z8VfiCRu7WKyYBLZsLtOQQ2rvivHj0ZxIUKz/ixOaZukZy0Q==" saltValue="30Q9AImt0wEFraVmkMB9tQ==" spinCount="100000" sheet="1" objects="1" scenarios="1" formatCells="0"/>
  <mergeCells count="25">
    <mergeCell ref="A1:C1"/>
    <mergeCell ref="A40:B40"/>
    <mergeCell ref="A41:B41"/>
    <mergeCell ref="A42:B42"/>
    <mergeCell ref="A2:C2"/>
    <mergeCell ref="B10:C10"/>
    <mergeCell ref="B13:C13"/>
    <mergeCell ref="B16:C16"/>
    <mergeCell ref="B19:C19"/>
    <mergeCell ref="B22:C22"/>
    <mergeCell ref="B25:C25"/>
    <mergeCell ref="B28:C28"/>
    <mergeCell ref="B31:C31"/>
    <mergeCell ref="B34:C34"/>
    <mergeCell ref="B37:C37"/>
    <mergeCell ref="B11:C11"/>
    <mergeCell ref="B29:C29"/>
    <mergeCell ref="B32:C32"/>
    <mergeCell ref="B35:C35"/>
    <mergeCell ref="B38:C38"/>
    <mergeCell ref="B14:C14"/>
    <mergeCell ref="B17:C17"/>
    <mergeCell ref="B20:C20"/>
    <mergeCell ref="B23:C23"/>
    <mergeCell ref="B26:C26"/>
  </mergeCells>
  <conditionalFormatting sqref="A9 A12 A15 A18 A21 A24 A27 A30 A33 A36">
    <cfRule type="expression" dxfId="216" priority="148">
      <formula>#REF!&lt;&gt;""</formula>
    </cfRule>
    <cfRule type="expression" dxfId="215" priority="149">
      <formula>#REF!&lt;&gt;""</formula>
    </cfRule>
  </conditionalFormatting>
  <conditionalFormatting sqref="C41">
    <cfRule type="expression" dxfId="214" priority="79">
      <formula>($C$41)="ano"</formula>
    </cfRule>
  </conditionalFormatting>
  <conditionalFormatting sqref="C40">
    <cfRule type="expression" dxfId="213" priority="78">
      <formula>($C$41)="ano"</formula>
    </cfRule>
  </conditionalFormatting>
  <conditionalFormatting sqref="C42">
    <cfRule type="expression" dxfId="212" priority="77">
      <formula>($C$42)="doporučen"</formula>
    </cfRule>
  </conditionalFormatting>
  <conditionalFormatting sqref="A11">
    <cfRule type="expression" dxfId="211" priority="75">
      <formula>#REF!&lt;&gt;""</formula>
    </cfRule>
    <cfRule type="expression" dxfId="210" priority="76">
      <formula>#REF!&lt;&gt;""</formula>
    </cfRule>
  </conditionalFormatting>
  <conditionalFormatting sqref="A10">
    <cfRule type="expression" dxfId="209" priority="73">
      <formula>#REF!&lt;&gt;""</formula>
    </cfRule>
    <cfRule type="expression" dxfId="208" priority="74">
      <formula>#REF!&lt;&gt;""</formula>
    </cfRule>
  </conditionalFormatting>
  <conditionalFormatting sqref="A14">
    <cfRule type="expression" dxfId="207" priority="35">
      <formula>#REF!&lt;&gt;""</formula>
    </cfRule>
    <cfRule type="expression" dxfId="206" priority="36">
      <formula>#REF!&lt;&gt;""</formula>
    </cfRule>
  </conditionalFormatting>
  <conditionalFormatting sqref="A13">
    <cfRule type="expression" dxfId="205" priority="33">
      <formula>#REF!&lt;&gt;""</formula>
    </cfRule>
    <cfRule type="expression" dxfId="204" priority="34">
      <formula>#REF!&lt;&gt;""</formula>
    </cfRule>
  </conditionalFormatting>
  <conditionalFormatting sqref="A17">
    <cfRule type="expression" dxfId="203" priority="31">
      <formula>#REF!&lt;&gt;""</formula>
    </cfRule>
    <cfRule type="expression" dxfId="202" priority="32">
      <formula>#REF!&lt;&gt;""</formula>
    </cfRule>
  </conditionalFormatting>
  <conditionalFormatting sqref="A16">
    <cfRule type="expression" dxfId="201" priority="29">
      <formula>#REF!&lt;&gt;""</formula>
    </cfRule>
    <cfRule type="expression" dxfId="200" priority="30">
      <formula>#REF!&lt;&gt;""</formula>
    </cfRule>
  </conditionalFormatting>
  <conditionalFormatting sqref="A20">
    <cfRule type="expression" dxfId="199" priority="27">
      <formula>#REF!&lt;&gt;""</formula>
    </cfRule>
    <cfRule type="expression" dxfId="198" priority="28">
      <formula>#REF!&lt;&gt;""</formula>
    </cfRule>
  </conditionalFormatting>
  <conditionalFormatting sqref="A19">
    <cfRule type="expression" dxfId="197" priority="25">
      <formula>#REF!&lt;&gt;""</formula>
    </cfRule>
    <cfRule type="expression" dxfId="196" priority="26">
      <formula>#REF!&lt;&gt;""</formula>
    </cfRule>
  </conditionalFormatting>
  <conditionalFormatting sqref="A23">
    <cfRule type="expression" dxfId="195" priority="23">
      <formula>#REF!&lt;&gt;""</formula>
    </cfRule>
    <cfRule type="expression" dxfId="194" priority="24">
      <formula>#REF!&lt;&gt;""</formula>
    </cfRule>
  </conditionalFormatting>
  <conditionalFormatting sqref="A22">
    <cfRule type="expression" dxfId="193" priority="21">
      <formula>#REF!&lt;&gt;""</formula>
    </cfRule>
    <cfRule type="expression" dxfId="192" priority="22">
      <formula>#REF!&lt;&gt;""</formula>
    </cfRule>
  </conditionalFormatting>
  <conditionalFormatting sqref="A26">
    <cfRule type="expression" dxfId="191" priority="19">
      <formula>#REF!&lt;&gt;""</formula>
    </cfRule>
    <cfRule type="expression" dxfId="190" priority="20">
      <formula>#REF!&lt;&gt;""</formula>
    </cfRule>
  </conditionalFormatting>
  <conditionalFormatting sqref="A25">
    <cfRule type="expression" dxfId="189" priority="17">
      <formula>#REF!&lt;&gt;""</formula>
    </cfRule>
    <cfRule type="expression" dxfId="188" priority="18">
      <formula>#REF!&lt;&gt;""</formula>
    </cfRule>
  </conditionalFormatting>
  <conditionalFormatting sqref="A29">
    <cfRule type="expression" dxfId="187" priority="15">
      <formula>#REF!&lt;&gt;""</formula>
    </cfRule>
    <cfRule type="expression" dxfId="186" priority="16">
      <formula>#REF!&lt;&gt;""</formula>
    </cfRule>
  </conditionalFormatting>
  <conditionalFormatting sqref="A28">
    <cfRule type="expression" dxfId="185" priority="13">
      <formula>#REF!&lt;&gt;""</formula>
    </cfRule>
    <cfRule type="expression" dxfId="184" priority="14">
      <formula>#REF!&lt;&gt;""</formula>
    </cfRule>
  </conditionalFormatting>
  <conditionalFormatting sqref="A32">
    <cfRule type="expression" dxfId="183" priority="11">
      <formula>#REF!&lt;&gt;""</formula>
    </cfRule>
    <cfRule type="expression" dxfId="182" priority="12">
      <formula>#REF!&lt;&gt;""</formula>
    </cfRule>
  </conditionalFormatting>
  <conditionalFormatting sqref="A31">
    <cfRule type="expression" dxfId="181" priority="9">
      <formula>#REF!&lt;&gt;""</formula>
    </cfRule>
    <cfRule type="expression" dxfId="180" priority="10">
      <formula>#REF!&lt;&gt;""</formula>
    </cfRule>
  </conditionalFormatting>
  <conditionalFormatting sqref="A35">
    <cfRule type="expression" dxfId="179" priority="7">
      <formula>#REF!&lt;&gt;""</formula>
    </cfRule>
    <cfRule type="expression" dxfId="178" priority="8">
      <formula>#REF!&lt;&gt;""</formula>
    </cfRule>
  </conditionalFormatting>
  <conditionalFormatting sqref="A34">
    <cfRule type="expression" dxfId="177" priority="5">
      <formula>#REF!&lt;&gt;""</formula>
    </cfRule>
    <cfRule type="expression" dxfId="176" priority="6">
      <formula>#REF!&lt;&gt;""</formula>
    </cfRule>
  </conditionalFormatting>
  <conditionalFormatting sqref="A38">
    <cfRule type="expression" dxfId="175" priority="3">
      <formula>#REF!&lt;&gt;""</formula>
    </cfRule>
    <cfRule type="expression" dxfId="174" priority="4">
      <formula>#REF!&lt;&gt;""</formula>
    </cfRule>
  </conditionalFormatting>
  <conditionalFormatting sqref="A37">
    <cfRule type="expression" dxfId="173" priority="1">
      <formula>#REF!&lt;&gt;""</formula>
    </cfRule>
    <cfRule type="expression" dxfId="172" priority="2">
      <formula>#REF!&lt;&gt;""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opLeftCell="G1" zoomScale="85" zoomScaleNormal="85" workbookViewId="0">
      <pane xSplit="1" ySplit="9" topLeftCell="H10" activePane="bottomRight" state="frozen"/>
      <selection activeCell="G1" sqref="G1"/>
      <selection pane="topRight" activeCell="H1" sqref="H1"/>
      <selection pane="bottomLeft" activeCell="G10" sqref="G10"/>
      <selection pane="bottomRight" activeCell="H10" sqref="H10"/>
    </sheetView>
  </sheetViews>
  <sheetFormatPr defaultColWidth="9.140625" defaultRowHeight="15" outlineLevelRow="1" outlineLevelCol="1" x14ac:dyDescent="0.25"/>
  <cols>
    <col min="1" max="1" width="1.85546875" style="5" hidden="1" customWidth="1" outlineLevel="1"/>
    <col min="2" max="2" width="4" style="5" hidden="1" customWidth="1" outlineLevel="1"/>
    <col min="3" max="5" width="4" style="102" hidden="1" customWidth="1" outlineLevel="1"/>
    <col min="6" max="6" width="3.5703125" style="80" hidden="1" customWidth="1" outlineLevel="1"/>
    <col min="7" max="7" width="8.7109375" style="5" customWidth="1" collapsed="1"/>
    <col min="8" max="8" width="130.7109375" style="5" customWidth="1"/>
    <col min="9" max="10" width="15.7109375" style="5" customWidth="1"/>
    <col min="11" max="11" width="15.7109375" style="84" customWidth="1"/>
    <col min="12" max="12" width="15.7109375" style="5" customWidth="1"/>
    <col min="13" max="14" width="15.7109375" style="84" customWidth="1"/>
    <col min="15" max="16384" width="9.140625" style="5"/>
  </cols>
  <sheetData>
    <row r="1" spans="1:14" ht="15.75" thickBot="1" x14ac:dyDescent="0.3">
      <c r="A1" s="118"/>
      <c r="B1" s="118"/>
      <c r="C1" s="118"/>
      <c r="D1" s="118"/>
      <c r="E1" s="118"/>
      <c r="F1" s="118"/>
      <c r="G1" s="437" t="s">
        <v>222</v>
      </c>
      <c r="H1" s="438"/>
      <c r="I1" s="438"/>
      <c r="J1" s="438"/>
      <c r="K1" s="438"/>
      <c r="L1" s="438"/>
      <c r="M1" s="438"/>
      <c r="N1" s="439"/>
    </row>
    <row r="2" spans="1:14" ht="32.25" thickBot="1" x14ac:dyDescent="0.3">
      <c r="A2" s="6"/>
      <c r="B2" s="6"/>
      <c r="C2" s="37"/>
      <c r="D2" s="37"/>
      <c r="E2" s="37"/>
      <c r="F2" s="37"/>
      <c r="G2" s="122" t="s">
        <v>221</v>
      </c>
      <c r="H2" s="123" t="s">
        <v>220</v>
      </c>
      <c r="I2" s="220">
        <f>I3+I4</f>
        <v>1.5</v>
      </c>
      <c r="J2" s="433" t="str">
        <f>"/    "&amp;I8&amp;" bodů"</f>
        <v>/    2 bodů</v>
      </c>
      <c r="K2" s="433"/>
      <c r="L2" s="433"/>
      <c r="M2" s="433"/>
      <c r="N2" s="434"/>
    </row>
    <row r="3" spans="1:14" ht="21" x14ac:dyDescent="0.25">
      <c r="A3" s="109"/>
      <c r="B3" s="109"/>
      <c r="C3" s="110"/>
      <c r="D3" s="110"/>
      <c r="E3" s="110"/>
      <c r="F3" s="110"/>
      <c r="G3" s="177" t="str">
        <f>"B "&amp;$G$2</f>
        <v>B 8.</v>
      </c>
      <c r="H3" s="178" t="str">
        <f>IF($J$8&lt;&gt;COUNTIF(I9:I111,2),"Počet odpovědí neodpovídá počtu otázek, prosím zkontrolujte!",$H$2)</f>
        <v>Systémy využívající BigData</v>
      </c>
      <c r="I3" s="129">
        <f>K8</f>
        <v>0.5</v>
      </c>
      <c r="J3" s="207" t="str">
        <f>$J$2</f>
        <v>/    2 bodů</v>
      </c>
      <c r="K3" s="207"/>
      <c r="L3" s="207"/>
      <c r="M3" s="207"/>
      <c r="N3" s="208"/>
    </row>
    <row r="4" spans="1:14" ht="21.75" thickBot="1" x14ac:dyDescent="0.3">
      <c r="A4" s="113"/>
      <c r="B4" s="113"/>
      <c r="C4" s="114"/>
      <c r="D4" s="114"/>
      <c r="E4" s="114"/>
      <c r="F4" s="114"/>
      <c r="G4" s="175" t="str">
        <f>"C "&amp;$G$2</f>
        <v>C 8.</v>
      </c>
      <c r="H4" s="176" t="str">
        <f>IF($L$8&lt;&gt;COUNTIF(I9:I111,2),"Počet odpovědí neodpovídá počtu otázek, prosím zkontrolujte!",$H$2)</f>
        <v>Systémy využívající BigData</v>
      </c>
      <c r="I4" s="141">
        <f>N8</f>
        <v>1</v>
      </c>
      <c r="J4" s="142" t="str">
        <f>$J$2</f>
        <v>/    2 bodů</v>
      </c>
      <c r="K4" s="143"/>
      <c r="L4" s="144"/>
      <c r="M4" s="145"/>
      <c r="N4" s="146"/>
    </row>
    <row r="5" spans="1:14" hidden="1" outlineLevel="1" x14ac:dyDescent="0.25">
      <c r="A5" s="71"/>
      <c r="B5" s="71"/>
      <c r="C5" s="92"/>
      <c r="D5" s="92"/>
      <c r="E5" s="92"/>
      <c r="F5" s="92"/>
      <c r="G5" s="19"/>
      <c r="H5" s="23"/>
      <c r="I5" s="24"/>
      <c r="J5" s="17" t="str">
        <f>'01'!J5</f>
        <v>současný stav</v>
      </c>
      <c r="K5" s="17" t="str">
        <f>'01'!K5</f>
        <v>současný stav</v>
      </c>
      <c r="L5" s="17" t="str">
        <f>'01'!L5</f>
        <v>plánovaný stav</v>
      </c>
      <c r="M5" s="17" t="str">
        <f>'01'!M5</f>
        <v>plánovaný stav</v>
      </c>
      <c r="N5" s="17" t="str">
        <f>'01'!N5</f>
        <v>pokrok</v>
      </c>
    </row>
    <row r="6" spans="1:14" hidden="1" outlineLevel="1" x14ac:dyDescent="0.25">
      <c r="A6" s="11"/>
      <c r="B6" s="11"/>
      <c r="C6" s="93"/>
      <c r="D6" s="93"/>
      <c r="E6" s="93"/>
      <c r="F6" s="93"/>
      <c r="G6" s="20"/>
      <c r="H6" s="25"/>
      <c r="I6" s="26"/>
      <c r="J6" s="18" t="str">
        <f>'01'!J6</f>
        <v>výběr úrovně</v>
      </c>
      <c r="K6" s="18" t="str">
        <f>'01'!K6</f>
        <v>bodové hodnocení</v>
      </c>
      <c r="L6" s="18" t="str">
        <f>'01'!L6</f>
        <v>výběr úrovně</v>
      </c>
      <c r="M6" s="18" t="str">
        <f>'01'!M6</f>
        <v>bodové hodnocení</v>
      </c>
      <c r="N6" s="18" t="str">
        <f>'01'!N6</f>
        <v>bodové hodnocení</v>
      </c>
    </row>
    <row r="7" spans="1:14" hidden="1" outlineLevel="1" x14ac:dyDescent="0.25">
      <c r="A7" s="11"/>
      <c r="B7" s="11"/>
      <c r="C7" s="93"/>
      <c r="D7" s="93"/>
      <c r="E7" s="93"/>
      <c r="F7" s="93"/>
      <c r="G7" s="20"/>
      <c r="H7" s="25"/>
      <c r="I7" s="26"/>
      <c r="J7" s="18"/>
      <c r="K7" s="18" t="str">
        <f>'01'!K7</f>
        <v>B</v>
      </c>
      <c r="L7" s="18"/>
      <c r="M7" s="18"/>
      <c r="N7" s="18" t="str">
        <f>'01'!N7</f>
        <v>C</v>
      </c>
    </row>
    <row r="8" spans="1:14" ht="15.75" hidden="1" outlineLevel="1" thickBot="1" x14ac:dyDescent="0.3">
      <c r="A8" s="27"/>
      <c r="B8" s="27"/>
      <c r="C8" s="94"/>
      <c r="D8" s="94"/>
      <c r="E8" s="94"/>
      <c r="F8" s="94"/>
      <c r="G8" s="21"/>
      <c r="H8" s="27"/>
      <c r="I8" s="38">
        <f>COUNTIF(I9:I21,2)*2</f>
        <v>2</v>
      </c>
      <c r="J8" s="22">
        <f>COUNTIF(J9:J21,"x")</f>
        <v>1</v>
      </c>
      <c r="K8" s="81">
        <f>SUBTOTAL(9,K9:K21)</f>
        <v>0.5</v>
      </c>
      <c r="L8" s="22">
        <f>COUNTIF(L9:L21,"x")</f>
        <v>1</v>
      </c>
      <c r="M8" s="81">
        <f>SUBTOTAL(9,M9:M21)</f>
        <v>1.5</v>
      </c>
      <c r="N8" s="85">
        <f>SUBTOTAL(9,N9:N21)</f>
        <v>1</v>
      </c>
    </row>
    <row r="9" spans="1:14" s="29" customFormat="1" ht="12.75" collapsed="1" thickBot="1" x14ac:dyDescent="0.3">
      <c r="A9" s="28"/>
      <c r="B9" s="28"/>
      <c r="C9" s="95"/>
      <c r="D9" s="95"/>
      <c r="E9" s="95"/>
      <c r="F9" s="95"/>
      <c r="G9" s="125"/>
      <c r="H9" s="189"/>
      <c r="I9" s="127"/>
      <c r="J9" s="435"/>
      <c r="K9" s="435"/>
      <c r="L9" s="435"/>
      <c r="M9" s="435"/>
      <c r="N9" s="436"/>
    </row>
    <row r="10" spans="1:14" x14ac:dyDescent="0.25">
      <c r="A10" s="72"/>
      <c r="B10" s="72"/>
      <c r="C10" s="96"/>
      <c r="D10" s="96"/>
      <c r="E10" s="96"/>
      <c r="F10" s="105">
        <v>1</v>
      </c>
      <c r="G10" s="13" t="s">
        <v>17</v>
      </c>
      <c r="H10" s="3" t="s">
        <v>212</v>
      </c>
      <c r="I10" s="7"/>
      <c r="J10" s="162" t="str">
        <f>$J$5</f>
        <v>současný stav</v>
      </c>
      <c r="K10" s="130" t="str">
        <f>$K$5</f>
        <v>současný stav</v>
      </c>
      <c r="L10" s="162" t="str">
        <f>$L$5</f>
        <v>plánovaný stav</v>
      </c>
      <c r="M10" s="86" t="str">
        <f>$M$5</f>
        <v>plánovaný stav</v>
      </c>
      <c r="N10" s="157" t="str">
        <f>$N$5</f>
        <v>pokrok</v>
      </c>
    </row>
    <row r="11" spans="1:14" x14ac:dyDescent="0.25">
      <c r="A11" s="73"/>
      <c r="B11" s="73"/>
      <c r="C11" s="97"/>
      <c r="D11" s="97"/>
      <c r="E11" s="97"/>
      <c r="F11" s="108" t="str">
        <f>G11</f>
        <v>8.1</v>
      </c>
      <c r="G11" s="70" t="str">
        <f>$G$2&amp;F10</f>
        <v>8.1</v>
      </c>
      <c r="H11" s="4" t="s">
        <v>213</v>
      </c>
      <c r="I11" s="12"/>
      <c r="J11" s="163" t="str">
        <f>$J$6</f>
        <v>výběr úrovně</v>
      </c>
      <c r="K11" s="131" t="str">
        <f>$K$6</f>
        <v>bodové hodnocení</v>
      </c>
      <c r="L11" s="163" t="str">
        <f>$L$6</f>
        <v>výběr úrovně</v>
      </c>
      <c r="M11" s="88" t="str">
        <f>$M$6</f>
        <v>bodové hodnocení</v>
      </c>
      <c r="N11" s="158" t="str">
        <f>$N$6</f>
        <v>bodové hodnocení</v>
      </c>
    </row>
    <row r="12" spans="1:14" ht="15.75" thickBot="1" x14ac:dyDescent="0.3">
      <c r="A12" s="73"/>
      <c r="B12" s="73"/>
      <c r="C12" s="97"/>
      <c r="D12" s="97"/>
      <c r="E12" s="97"/>
      <c r="F12" s="104" t="str">
        <f>F11</f>
        <v>8.1</v>
      </c>
      <c r="G12" s="14"/>
      <c r="H12" s="15"/>
      <c r="I12" s="8"/>
      <c r="J12" s="164"/>
      <c r="K12" s="132" t="str">
        <f>$K$7</f>
        <v>B</v>
      </c>
      <c r="L12" s="164"/>
      <c r="M12" s="89"/>
      <c r="N12" s="159" t="str">
        <f>$N$7</f>
        <v>C</v>
      </c>
    </row>
    <row r="13" spans="1:14" x14ac:dyDescent="0.25">
      <c r="A13" s="69">
        <f>IF(G13="a.",0,IF(G13="b.",1,IF(G13="c.",2,IF(G13="d.",3,IF(G13="e.",4,IF(G13="f.",5,IF(G13="g.",6,IF(G13="h.",7,IF(G13="i.",8,IF(G13="j.",9,""))))))))))</f>
        <v>0</v>
      </c>
      <c r="B13" s="103">
        <f>MAX(A13:A18)</f>
        <v>4</v>
      </c>
      <c r="C13" s="98">
        <f>SUM(K13:K18)</f>
        <v>0.5</v>
      </c>
      <c r="D13" s="98">
        <f>SUM(M13:M18)</f>
        <v>1.5</v>
      </c>
      <c r="E13" s="98">
        <f>D13-C13</f>
        <v>1</v>
      </c>
      <c r="F13" s="104" t="str">
        <f t="shared" ref="F13:F21" si="0">F12</f>
        <v>8.1</v>
      </c>
      <c r="G13" s="9" t="s">
        <v>6</v>
      </c>
      <c r="H13" s="77" t="s">
        <v>214</v>
      </c>
      <c r="I13" s="79">
        <f>IF(A13&lt;&gt;"",A13/B13*2,"")</f>
        <v>0</v>
      </c>
      <c r="J13" s="218"/>
      <c r="K13" s="133" t="str">
        <f>IF(J13="","",I13)</f>
        <v/>
      </c>
      <c r="L13" s="218"/>
      <c r="M13" s="90" t="str">
        <f>IF(L13="","",I13)</f>
        <v/>
      </c>
      <c r="N13" s="160" t="str">
        <f>IF(AND(M13&lt;&gt;"",E13&gt;=0),E13,"")</f>
        <v/>
      </c>
    </row>
    <row r="14" spans="1:14" x14ac:dyDescent="0.25">
      <c r="A14" s="69">
        <f>IF(G14="a.",0,IF(G14="b.",1,IF(G14="c.",2,IF(G14="d.",3,IF(G14="e.",4,IF(G14="f.",5,IF(G14="g.",6,IF(G14="h.",7,IF(G14="i.",8,IF(G14="j.",9,""))))))))))</f>
        <v>1</v>
      </c>
      <c r="B14" s="99">
        <f t="shared" ref="B14:B17" si="1">B13</f>
        <v>4</v>
      </c>
      <c r="C14" s="93"/>
      <c r="D14" s="93"/>
      <c r="E14" s="99">
        <f>E13</f>
        <v>1</v>
      </c>
      <c r="F14" s="104" t="str">
        <f t="shared" si="0"/>
        <v>8.1</v>
      </c>
      <c r="G14" s="2" t="s">
        <v>8</v>
      </c>
      <c r="H14" s="78" t="s">
        <v>215</v>
      </c>
      <c r="I14" s="79">
        <f>IF(A14&lt;&gt;"",A14/B14*2,"")</f>
        <v>0.5</v>
      </c>
      <c r="J14" s="219" t="s">
        <v>298</v>
      </c>
      <c r="K14" s="134">
        <f>IF(J14="","",I14)</f>
        <v>0.5</v>
      </c>
      <c r="L14" s="219"/>
      <c r="M14" s="91" t="str">
        <f>IF(L14="","",I14)</f>
        <v/>
      </c>
      <c r="N14" s="161" t="str">
        <f>IF(AND(M14&lt;&gt;"",E14&gt;=0),E14,"")</f>
        <v/>
      </c>
    </row>
    <row r="15" spans="1:14" x14ac:dyDescent="0.25">
      <c r="A15" s="69">
        <f>IF(G15="a.",0,IF(G15="b.",1,IF(G15="c.",2,IF(G15="d.",3,IF(G15="e.",4,IF(G15="f.",5,IF(G15="g.",6,IF(G15="h.",7,IF(G15="i.",8,IF(G15="j.",9,""))))))))))</f>
        <v>2</v>
      </c>
      <c r="B15" s="99">
        <f t="shared" si="1"/>
        <v>4</v>
      </c>
      <c r="C15" s="93"/>
      <c r="D15" s="93"/>
      <c r="E15" s="99">
        <f>E14</f>
        <v>1</v>
      </c>
      <c r="F15" s="104" t="str">
        <f t="shared" si="0"/>
        <v>8.1</v>
      </c>
      <c r="G15" s="2" t="s">
        <v>10</v>
      </c>
      <c r="H15" s="78" t="s">
        <v>216</v>
      </c>
      <c r="I15" s="79">
        <f>IF(A15&lt;&gt;"",A15/B15*2,"")</f>
        <v>1</v>
      </c>
      <c r="J15" s="219"/>
      <c r="K15" s="134" t="str">
        <f>IF(J15="","",I15)</f>
        <v/>
      </c>
      <c r="L15" s="219"/>
      <c r="M15" s="91" t="str">
        <f>IF(L15="","",I15)</f>
        <v/>
      </c>
      <c r="N15" s="161" t="str">
        <f>IF(AND(M15&lt;&gt;"",E15&gt;=0),E15,"")</f>
        <v/>
      </c>
    </row>
    <row r="16" spans="1:14" x14ac:dyDescent="0.25">
      <c r="A16" s="69">
        <f>IF(G16="a.",0,IF(G16="b.",1,IF(G16="c.",2,IF(G16="d.",3,IF(G16="e.",4,IF(G16="f.",5,IF(G16="g.",6,IF(G16="h.",7,IF(G16="i.",8,IF(G16="j.",9,""))))))))))</f>
        <v>3</v>
      </c>
      <c r="B16" s="99">
        <f t="shared" si="1"/>
        <v>4</v>
      </c>
      <c r="C16" s="93"/>
      <c r="D16" s="93"/>
      <c r="E16" s="99">
        <f>E15</f>
        <v>1</v>
      </c>
      <c r="F16" s="104" t="str">
        <f t="shared" si="0"/>
        <v>8.1</v>
      </c>
      <c r="G16" s="75" t="s">
        <v>68</v>
      </c>
      <c r="H16" s="76" t="s">
        <v>217</v>
      </c>
      <c r="I16" s="79">
        <f>IF(A16&lt;&gt;"",A16/B16*2,"")</f>
        <v>1.5</v>
      </c>
      <c r="J16" s="219"/>
      <c r="K16" s="134" t="str">
        <f t="shared" ref="K16:K17" si="2">IF(J16="","",I16)</f>
        <v/>
      </c>
      <c r="L16" s="219" t="s">
        <v>298</v>
      </c>
      <c r="M16" s="91">
        <f t="shared" ref="M16:M17" si="3">IF(L16="","",I16)</f>
        <v>1.5</v>
      </c>
      <c r="N16" s="161">
        <f>IF(AND(M16&lt;&gt;"",E16&gt;=0),E16,"")</f>
        <v>1</v>
      </c>
    </row>
    <row r="17" spans="1:14" ht="24" x14ac:dyDescent="0.25">
      <c r="A17" s="69">
        <f>IF(G17="a.",0,IF(G17="b.",1,IF(G17="c.",2,IF(G17="d.",3,IF(G17="e.",4,IF(G17="f.",5,IF(G17="g.",6,IF(G17="h.",7,IF(G17="i.",8,IF(G17="j.",9,""))))))))))</f>
        <v>4</v>
      </c>
      <c r="B17" s="99">
        <f t="shared" si="1"/>
        <v>4</v>
      </c>
      <c r="C17" s="93"/>
      <c r="D17" s="93"/>
      <c r="E17" s="99">
        <f>E16</f>
        <v>1</v>
      </c>
      <c r="F17" s="104" t="str">
        <f t="shared" si="0"/>
        <v>8.1</v>
      </c>
      <c r="G17" s="2" t="s">
        <v>92</v>
      </c>
      <c r="H17" s="76" t="s">
        <v>218</v>
      </c>
      <c r="I17" s="79">
        <f>IF(A17&lt;&gt;"",A17/B17*2,"")</f>
        <v>2</v>
      </c>
      <c r="J17" s="219"/>
      <c r="K17" s="134" t="str">
        <f t="shared" si="2"/>
        <v/>
      </c>
      <c r="L17" s="219"/>
      <c r="M17" s="91" t="str">
        <f t="shared" si="3"/>
        <v/>
      </c>
      <c r="N17" s="161" t="str">
        <f>IF(AND(M17&lt;&gt;"",E17&gt;=0),E17,"")</f>
        <v/>
      </c>
    </row>
    <row r="18" spans="1:14" x14ac:dyDescent="0.25">
      <c r="A18" s="115"/>
      <c r="B18" s="115"/>
      <c r="C18" s="116"/>
      <c r="D18" s="116"/>
      <c r="E18" s="116"/>
      <c r="F18" s="104" t="str">
        <f t="shared" si="0"/>
        <v>8.1</v>
      </c>
      <c r="G18" s="135" t="str">
        <f>"odd. B "&amp;F18</f>
        <v>odd. B 8.1</v>
      </c>
      <c r="H18" s="136" t="s">
        <v>18</v>
      </c>
      <c r="I18" s="137"/>
      <c r="J18" s="137"/>
      <c r="K18" s="138"/>
      <c r="L18" s="137"/>
      <c r="M18" s="138"/>
      <c r="N18" s="139"/>
    </row>
    <row r="19" spans="1:14" x14ac:dyDescent="0.25">
      <c r="A19" s="119"/>
      <c r="B19" s="119"/>
      <c r="C19" s="119"/>
      <c r="D19" s="119"/>
      <c r="E19" s="119"/>
      <c r="F19" s="104" t="str">
        <f t="shared" si="0"/>
        <v>8.1</v>
      </c>
      <c r="G19" s="140"/>
      <c r="H19" s="424"/>
      <c r="I19" s="425"/>
      <c r="J19" s="425"/>
      <c r="K19" s="425"/>
      <c r="L19" s="425"/>
      <c r="M19" s="425"/>
      <c r="N19" s="426"/>
    </row>
    <row r="20" spans="1:14" x14ac:dyDescent="0.25">
      <c r="A20" s="16"/>
      <c r="B20" s="16"/>
      <c r="C20" s="100"/>
      <c r="D20" s="100"/>
      <c r="E20" s="100"/>
      <c r="F20" s="104" t="str">
        <f t="shared" si="0"/>
        <v>8.1</v>
      </c>
      <c r="G20" s="151" t="str">
        <f>"odd. C "&amp;F20</f>
        <v>odd. C 8.1</v>
      </c>
      <c r="H20" s="152" t="s">
        <v>19</v>
      </c>
      <c r="I20" s="153"/>
      <c r="J20" s="153"/>
      <c r="K20" s="154"/>
      <c r="L20" s="153"/>
      <c r="M20" s="154"/>
      <c r="N20" s="155"/>
    </row>
    <row r="21" spans="1:14" ht="15.75" thickBot="1" x14ac:dyDescent="0.3">
      <c r="A21" s="117"/>
      <c r="B21" s="117"/>
      <c r="C21" s="117"/>
      <c r="D21" s="117"/>
      <c r="E21" s="117"/>
      <c r="F21" s="104" t="str">
        <f t="shared" si="0"/>
        <v>8.1</v>
      </c>
      <c r="G21" s="156"/>
      <c r="H21" s="427"/>
      <c r="I21" s="428"/>
      <c r="J21" s="428"/>
      <c r="K21" s="428"/>
      <c r="L21" s="428"/>
      <c r="M21" s="428"/>
      <c r="N21" s="429"/>
    </row>
  </sheetData>
  <sheetProtection algorithmName="SHA-512" hashValue="TfjryHTdl6C7+ygMOpeepv6QFraCfEBb0cSrzLkBHmA5/DNaVb//GxBabRIwdcp38QtcBrg9c3yebUIjkazL0A==" saltValue="bwFPKOPjNtbdqGhGEtOLkg==" spinCount="100000" sheet="1" objects="1" scenarios="1" formatCells="0"/>
  <mergeCells count="5">
    <mergeCell ref="G1:N1"/>
    <mergeCell ref="J2:N2"/>
    <mergeCell ref="J9:N9"/>
    <mergeCell ref="H19:N19"/>
    <mergeCell ref="H21:N21"/>
  </mergeCells>
  <conditionalFormatting sqref="I3">
    <cfRule type="expression" dxfId="50" priority="17">
      <formula>$J$8&lt;&gt;COUNTIF(I9:I111,2)</formula>
    </cfRule>
  </conditionalFormatting>
  <conditionalFormatting sqref="I4">
    <cfRule type="expression" dxfId="49" priority="18">
      <formula>$L$8&lt;&gt;COUNTIF(I9:I111,2)</formula>
    </cfRule>
  </conditionalFormatting>
  <conditionalFormatting sqref="G3">
    <cfRule type="expression" dxfId="48" priority="15">
      <formula>$J$8&lt;&gt;COUNTIF(I9:I111,2)</formula>
    </cfRule>
  </conditionalFormatting>
  <conditionalFormatting sqref="J3">
    <cfRule type="expression" dxfId="47" priority="14">
      <formula>$J$8&lt;&gt;COUNTIF(I9:I111,2)</formula>
    </cfRule>
  </conditionalFormatting>
  <conditionalFormatting sqref="K3">
    <cfRule type="expression" dxfId="46" priority="13">
      <formula>$J$8&lt;&gt;COUNTIF(I9:I111,2)</formula>
    </cfRule>
  </conditionalFormatting>
  <conditionalFormatting sqref="L3">
    <cfRule type="expression" dxfId="45" priority="12">
      <formula>$J$8&lt;&gt;COUNTIF(I9:I111,2)</formula>
    </cfRule>
  </conditionalFormatting>
  <conditionalFormatting sqref="M3">
    <cfRule type="expression" dxfId="44" priority="11">
      <formula>$J$8&lt;&gt;COUNTIF(I9:I111,2)</formula>
    </cfRule>
  </conditionalFormatting>
  <conditionalFormatting sqref="N3">
    <cfRule type="expression" dxfId="43" priority="10">
      <formula>$J$8&lt;&gt;COUNTIF(I9:I111,2)</formula>
    </cfRule>
  </conditionalFormatting>
  <conditionalFormatting sqref="G4">
    <cfRule type="expression" dxfId="42" priority="8">
      <formula>$L$8&lt;&gt;COUNTIF(I9:I111,2)</formula>
    </cfRule>
  </conditionalFormatting>
  <conditionalFormatting sqref="J4">
    <cfRule type="expression" dxfId="41" priority="7">
      <formula>$L$8&lt;&gt;COUNTIF(I9:I111,2)</formula>
    </cfRule>
  </conditionalFormatting>
  <conditionalFormatting sqref="K4">
    <cfRule type="expression" dxfId="40" priority="6">
      <formula>$L$8&lt;&gt;COUNTIF(I9:I111,2)</formula>
    </cfRule>
  </conditionalFormatting>
  <conditionalFormatting sqref="L4">
    <cfRule type="expression" dxfId="39" priority="5">
      <formula>$L$8&lt;&gt;COUNTIF(I9:I111,2)</formula>
    </cfRule>
  </conditionalFormatting>
  <conditionalFormatting sqref="M4">
    <cfRule type="expression" dxfId="38" priority="4">
      <formula>$L$8&lt;&gt;COUNTIF(I9:I111,2)</formula>
    </cfRule>
  </conditionalFormatting>
  <conditionalFormatting sqref="N4">
    <cfRule type="expression" dxfId="37" priority="3">
      <formula>$L$8&lt;&gt;COUNTIF(I9:I111,2)</formula>
    </cfRule>
  </conditionalFormatting>
  <conditionalFormatting sqref="H3">
    <cfRule type="expression" dxfId="36" priority="2">
      <formula>$J$8&lt;&gt;COUNTIF(I9:I111,2)</formula>
    </cfRule>
  </conditionalFormatting>
  <conditionalFormatting sqref="H4">
    <cfRule type="expression" dxfId="35" priority="1">
      <formula>$L$8&lt;&gt;COUNTIF(I9:I111,2)</formula>
    </cfRule>
  </conditionalFormatting>
  <pageMargins left="0.7" right="0.7" top="0.78740157499999996" bottom="0.78740157499999996" header="0.3" footer="0.3"/>
  <pageSetup paperSize="9" scale="5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topLeftCell="G1" zoomScale="85" zoomScaleNormal="85" workbookViewId="0">
      <pane xSplit="1" ySplit="9" topLeftCell="H10" activePane="bottomRight" state="frozen"/>
      <selection activeCell="G1" sqref="G1"/>
      <selection pane="topRight" activeCell="H1" sqref="H1"/>
      <selection pane="bottomLeft" activeCell="G10" sqref="G10"/>
      <selection pane="bottomRight" activeCell="H10" sqref="H10"/>
    </sheetView>
  </sheetViews>
  <sheetFormatPr defaultColWidth="9.140625" defaultRowHeight="15" outlineLevelRow="1" outlineLevelCol="1" x14ac:dyDescent="0.25"/>
  <cols>
    <col min="1" max="1" width="1.85546875" style="5" hidden="1" customWidth="1" outlineLevel="1"/>
    <col min="2" max="2" width="4" style="5" hidden="1" customWidth="1" outlineLevel="1"/>
    <col min="3" max="5" width="4" style="102" hidden="1" customWidth="1" outlineLevel="1"/>
    <col min="6" max="6" width="3.5703125" style="80" hidden="1" customWidth="1" outlineLevel="1"/>
    <col min="7" max="7" width="8.7109375" style="5" customWidth="1" collapsed="1"/>
    <col min="8" max="8" width="130.7109375" style="5" customWidth="1"/>
    <col min="9" max="10" width="15.7109375" style="5" customWidth="1"/>
    <col min="11" max="11" width="15.7109375" style="84" customWidth="1"/>
    <col min="12" max="12" width="15.7109375" style="5" customWidth="1"/>
    <col min="13" max="14" width="15.7109375" style="84" customWidth="1"/>
    <col min="15" max="16384" width="9.140625" style="5"/>
  </cols>
  <sheetData>
    <row r="1" spans="1:14" ht="15.75" thickBot="1" x14ac:dyDescent="0.3">
      <c r="A1" s="118"/>
      <c r="B1" s="118"/>
      <c r="C1" s="118"/>
      <c r="D1" s="118"/>
      <c r="E1" s="118"/>
      <c r="F1" s="118"/>
      <c r="G1" s="437" t="s">
        <v>251</v>
      </c>
      <c r="H1" s="438"/>
      <c r="I1" s="438"/>
      <c r="J1" s="438"/>
      <c r="K1" s="438"/>
      <c r="L1" s="438"/>
      <c r="M1" s="438"/>
      <c r="N1" s="439"/>
    </row>
    <row r="2" spans="1:14" ht="32.25" thickBot="1" x14ac:dyDescent="0.3">
      <c r="A2" s="6"/>
      <c r="B2" s="6"/>
      <c r="C2" s="37"/>
      <c r="D2" s="37"/>
      <c r="E2" s="37"/>
      <c r="F2" s="37"/>
      <c r="G2" s="122" t="s">
        <v>250</v>
      </c>
      <c r="H2" s="123" t="s">
        <v>288</v>
      </c>
      <c r="I2" s="220">
        <f>I3+I4</f>
        <v>2</v>
      </c>
      <c r="J2" s="433" t="str">
        <f>"/    "&amp;I8&amp;" bodů"</f>
        <v>/    8 bodů</v>
      </c>
      <c r="K2" s="433"/>
      <c r="L2" s="433"/>
      <c r="M2" s="433"/>
      <c r="N2" s="434"/>
    </row>
    <row r="3" spans="1:14" ht="21" x14ac:dyDescent="0.25">
      <c r="A3" s="109"/>
      <c r="B3" s="109"/>
      <c r="C3" s="110"/>
      <c r="D3" s="110"/>
      <c r="E3" s="110"/>
      <c r="F3" s="110"/>
      <c r="G3" s="177" t="str">
        <f>"B "&amp;$G$2</f>
        <v>B 9.</v>
      </c>
      <c r="H3" s="178" t="str">
        <f>IF($J$8&lt;&gt;COUNTIF(I9:I111,2),"Počet odpovědí neodpovídá počtu otázek, prosím zkontrolujte!",$H$2)</f>
        <v>AI – Využití algoritmů umělé inteligence</v>
      </c>
      <c r="I3" s="129">
        <f>K8</f>
        <v>0</v>
      </c>
      <c r="J3" s="207" t="str">
        <f>$J$2</f>
        <v>/    8 bodů</v>
      </c>
      <c r="K3" s="207"/>
      <c r="L3" s="207"/>
      <c r="M3" s="207"/>
      <c r="N3" s="208"/>
    </row>
    <row r="4" spans="1:14" ht="21.75" thickBot="1" x14ac:dyDescent="0.3">
      <c r="A4" s="176"/>
      <c r="B4" s="176"/>
      <c r="C4" s="141"/>
      <c r="D4" s="141"/>
      <c r="E4" s="141"/>
      <c r="F4" s="141"/>
      <c r="G4" s="175" t="str">
        <f>"C "&amp;$G$2</f>
        <v>C 9.</v>
      </c>
      <c r="H4" s="176" t="str">
        <f>IF($L$8&lt;&gt;COUNTIF(I9:I111,2),"Počet odpovědí neodpovídá počtu otázek, prosím zkontrolujte!",$H$2)</f>
        <v>AI – Využití algoritmů umělé inteligence</v>
      </c>
      <c r="I4" s="141">
        <f>N8</f>
        <v>2</v>
      </c>
      <c r="J4" s="142" t="str">
        <f>$J$2</f>
        <v>/    8 bodů</v>
      </c>
      <c r="K4" s="143"/>
      <c r="L4" s="144"/>
      <c r="M4" s="145"/>
      <c r="N4" s="146"/>
    </row>
    <row r="5" spans="1:14" hidden="1" outlineLevel="1" x14ac:dyDescent="0.25">
      <c r="A5" s="71"/>
      <c r="B5" s="71"/>
      <c r="C5" s="92"/>
      <c r="D5" s="92"/>
      <c r="E5" s="92"/>
      <c r="F5" s="92"/>
      <c r="G5" s="19"/>
      <c r="H5" s="23"/>
      <c r="I5" s="24"/>
      <c r="J5" s="17" t="str">
        <f>'01'!J5</f>
        <v>současný stav</v>
      </c>
      <c r="K5" s="17" t="str">
        <f>'01'!K5</f>
        <v>současný stav</v>
      </c>
      <c r="L5" s="17" t="str">
        <f>'01'!L5</f>
        <v>plánovaný stav</v>
      </c>
      <c r="M5" s="17" t="str">
        <f>'01'!M5</f>
        <v>plánovaný stav</v>
      </c>
      <c r="N5" s="17" t="str">
        <f>'01'!N5</f>
        <v>pokrok</v>
      </c>
    </row>
    <row r="6" spans="1:14" hidden="1" outlineLevel="1" x14ac:dyDescent="0.25">
      <c r="A6" s="11"/>
      <c r="B6" s="11"/>
      <c r="C6" s="93"/>
      <c r="D6" s="93"/>
      <c r="E6" s="93"/>
      <c r="F6" s="93"/>
      <c r="G6" s="20"/>
      <c r="H6" s="25"/>
      <c r="I6" s="26"/>
      <c r="J6" s="18" t="str">
        <f>'01'!J6</f>
        <v>výběr úrovně</v>
      </c>
      <c r="K6" s="18" t="str">
        <f>'01'!K6</f>
        <v>bodové hodnocení</v>
      </c>
      <c r="L6" s="18" t="str">
        <f>'01'!L6</f>
        <v>výběr úrovně</v>
      </c>
      <c r="M6" s="18" t="str">
        <f>'01'!M6</f>
        <v>bodové hodnocení</v>
      </c>
      <c r="N6" s="18" t="str">
        <f>'01'!N6</f>
        <v>bodové hodnocení</v>
      </c>
    </row>
    <row r="7" spans="1:14" hidden="1" outlineLevel="1" x14ac:dyDescent="0.25">
      <c r="A7" s="11"/>
      <c r="B7" s="11"/>
      <c r="C7" s="93"/>
      <c r="D7" s="93"/>
      <c r="E7" s="93"/>
      <c r="F7" s="93"/>
      <c r="G7" s="20"/>
      <c r="H7" s="25"/>
      <c r="I7" s="26"/>
      <c r="J7" s="18"/>
      <c r="K7" s="18" t="str">
        <f>'01'!K7</f>
        <v>B</v>
      </c>
      <c r="L7" s="18"/>
      <c r="M7" s="18"/>
      <c r="N7" s="18" t="str">
        <f>'01'!N7</f>
        <v>C</v>
      </c>
    </row>
    <row r="8" spans="1:14" ht="15.75" hidden="1" outlineLevel="1" thickBot="1" x14ac:dyDescent="0.3">
      <c r="A8" s="27"/>
      <c r="B8" s="27"/>
      <c r="C8" s="94"/>
      <c r="D8" s="94"/>
      <c r="E8" s="94"/>
      <c r="F8" s="94"/>
      <c r="G8" s="21"/>
      <c r="H8" s="27"/>
      <c r="I8" s="38">
        <f>COUNTIF(I9:I47,2)*2</f>
        <v>8</v>
      </c>
      <c r="J8" s="22">
        <f>COUNTIF(J9:J47,"x")</f>
        <v>4</v>
      </c>
      <c r="K8" s="81">
        <f>SUBTOTAL(9,K9:K47)</f>
        <v>0</v>
      </c>
      <c r="L8" s="22">
        <f>COUNTIF(L9:L47,"x")</f>
        <v>4</v>
      </c>
      <c r="M8" s="81">
        <f>SUBTOTAL(9,M9:M47)</f>
        <v>2</v>
      </c>
      <c r="N8" s="85">
        <f>SUBTOTAL(9,N9:N47)</f>
        <v>2</v>
      </c>
    </row>
    <row r="9" spans="1:14" s="29" customFormat="1" ht="12.75" collapsed="1" thickBot="1" x14ac:dyDescent="0.3">
      <c r="A9" s="28"/>
      <c r="B9" s="28"/>
      <c r="C9" s="95"/>
      <c r="D9" s="95"/>
      <c r="E9" s="95"/>
      <c r="F9" s="95"/>
      <c r="G9" s="125"/>
      <c r="H9" s="189"/>
      <c r="I9" s="127"/>
      <c r="J9" s="435"/>
      <c r="K9" s="435"/>
      <c r="L9" s="435"/>
      <c r="M9" s="435"/>
      <c r="N9" s="436"/>
    </row>
    <row r="10" spans="1:14" x14ac:dyDescent="0.25">
      <c r="A10" s="72"/>
      <c r="B10" s="72"/>
      <c r="C10" s="96"/>
      <c r="D10" s="96"/>
      <c r="E10" s="96"/>
      <c r="F10" s="105">
        <v>1</v>
      </c>
      <c r="G10" s="13" t="s">
        <v>17</v>
      </c>
      <c r="H10" s="3" t="s">
        <v>252</v>
      </c>
      <c r="I10" s="7"/>
      <c r="J10" s="162" t="str">
        <f>$J$5</f>
        <v>současný stav</v>
      </c>
      <c r="K10" s="130" t="str">
        <f>$K$5</f>
        <v>současný stav</v>
      </c>
      <c r="L10" s="162" t="str">
        <f>$L$5</f>
        <v>plánovaný stav</v>
      </c>
      <c r="M10" s="86" t="str">
        <f>$M$5</f>
        <v>plánovaný stav</v>
      </c>
      <c r="N10" s="157" t="str">
        <f>$N$5</f>
        <v>pokrok</v>
      </c>
    </row>
    <row r="11" spans="1:14" x14ac:dyDescent="0.25">
      <c r="A11" s="73"/>
      <c r="B11" s="73"/>
      <c r="C11" s="97"/>
      <c r="D11" s="97"/>
      <c r="E11" s="97"/>
      <c r="F11" s="108" t="str">
        <f>G11</f>
        <v>9.1</v>
      </c>
      <c r="G11" s="70" t="str">
        <f>$G$2&amp;F10</f>
        <v>9.1</v>
      </c>
      <c r="H11" s="4" t="s">
        <v>253</v>
      </c>
      <c r="I11" s="12"/>
      <c r="J11" s="163" t="str">
        <f>$J$6</f>
        <v>výběr úrovně</v>
      </c>
      <c r="K11" s="131" t="str">
        <f>$K$6</f>
        <v>bodové hodnocení</v>
      </c>
      <c r="L11" s="163" t="str">
        <f>$L$6</f>
        <v>výběr úrovně</v>
      </c>
      <c r="M11" s="88" t="str">
        <f>$M$6</f>
        <v>bodové hodnocení</v>
      </c>
      <c r="N11" s="158" t="str">
        <f>$N$6</f>
        <v>bodové hodnocení</v>
      </c>
    </row>
    <row r="12" spans="1:14" ht="15.75" thickBot="1" x14ac:dyDescent="0.3">
      <c r="A12" s="73"/>
      <c r="B12" s="73"/>
      <c r="C12" s="97"/>
      <c r="D12" s="97"/>
      <c r="E12" s="97"/>
      <c r="F12" s="104" t="str">
        <f>F11</f>
        <v>9.1</v>
      </c>
      <c r="G12" s="14"/>
      <c r="H12" s="15"/>
      <c r="I12" s="8"/>
      <c r="J12" s="164"/>
      <c r="K12" s="132" t="str">
        <f>$K$7</f>
        <v>B</v>
      </c>
      <c r="L12" s="164"/>
      <c r="M12" s="89"/>
      <c r="N12" s="159" t="str">
        <f>$N$7</f>
        <v>C</v>
      </c>
    </row>
    <row r="13" spans="1:14" x14ac:dyDescent="0.25">
      <c r="A13" s="69">
        <f>IF(G13="a.",0,IF(G13="b.",1,IF(G13="c.",2,IF(G13="d.",3,IF(G13="e.",4,IF(G13="f.",5,IF(G13="g.",6,IF(G13="h.",7,IF(G13="i.",8,IF(G13="j.",9,""))))))))))</f>
        <v>0</v>
      </c>
      <c r="B13" s="103">
        <f>MAX(A13:A15)</f>
        <v>1</v>
      </c>
      <c r="C13" s="98">
        <f>SUM(K13:K15)</f>
        <v>0</v>
      </c>
      <c r="D13" s="98">
        <f>SUM(M13:M15)</f>
        <v>2</v>
      </c>
      <c r="E13" s="98">
        <f>D13-C13</f>
        <v>2</v>
      </c>
      <c r="F13" s="104" t="str">
        <f t="shared" ref="F13:F18" si="0">F12</f>
        <v>9.1</v>
      </c>
      <c r="G13" s="9" t="s">
        <v>6</v>
      </c>
      <c r="H13" s="77" t="s">
        <v>7</v>
      </c>
      <c r="I13" s="79">
        <f>IF(A13&lt;&gt;"",A13/B13*2,"")</f>
        <v>0</v>
      </c>
      <c r="J13" s="218" t="s">
        <v>298</v>
      </c>
      <c r="K13" s="133">
        <f>IF(J13="","",I13)</f>
        <v>0</v>
      </c>
      <c r="L13" s="218"/>
      <c r="M13" s="90" t="str">
        <f>IF(L13="","",I13)</f>
        <v/>
      </c>
      <c r="N13" s="160" t="str">
        <f>IF(AND(M13&lt;&gt;"",E13&gt;=0),E13,"")</f>
        <v/>
      </c>
    </row>
    <row r="14" spans="1:14" x14ac:dyDescent="0.25">
      <c r="A14" s="69">
        <f>IF(G14="a.",0,IF(G14="b.",1,IF(G14="c.",2,IF(G14="d.",3,IF(G14="e.",4,IF(G14="f.",5,IF(G14="g.",6,IF(G14="h.",7,IF(G14="i.",8,IF(G14="j.",9,""))))))))))</f>
        <v>1</v>
      </c>
      <c r="B14" s="99">
        <f t="shared" ref="B14" si="1">B13</f>
        <v>1</v>
      </c>
      <c r="C14" s="93"/>
      <c r="D14" s="93"/>
      <c r="E14" s="99">
        <f>E13</f>
        <v>2</v>
      </c>
      <c r="F14" s="104" t="str">
        <f t="shared" si="0"/>
        <v>9.1</v>
      </c>
      <c r="G14" s="2" t="s">
        <v>8</v>
      </c>
      <c r="H14" s="78" t="s">
        <v>254</v>
      </c>
      <c r="I14" s="79">
        <f>IF(A14&lt;&gt;"",A14/B14*2,"")</f>
        <v>2</v>
      </c>
      <c r="J14" s="219"/>
      <c r="K14" s="134" t="str">
        <f>IF(J14="","",I14)</f>
        <v/>
      </c>
      <c r="L14" s="219" t="s">
        <v>298</v>
      </c>
      <c r="M14" s="91">
        <f>IF(L14="","",I14)</f>
        <v>2</v>
      </c>
      <c r="N14" s="161">
        <f>IF(AND(M14&lt;&gt;"",E14&gt;=0),E14,"")</f>
        <v>2</v>
      </c>
    </row>
    <row r="15" spans="1:14" x14ac:dyDescent="0.25">
      <c r="A15" s="115"/>
      <c r="B15" s="115"/>
      <c r="C15" s="116"/>
      <c r="D15" s="116"/>
      <c r="E15" s="116"/>
      <c r="F15" s="104" t="str">
        <f t="shared" si="0"/>
        <v>9.1</v>
      </c>
      <c r="G15" s="135" t="str">
        <f>"odd. B "&amp;F15</f>
        <v>odd. B 9.1</v>
      </c>
      <c r="H15" s="136" t="s">
        <v>18</v>
      </c>
      <c r="I15" s="137"/>
      <c r="J15" s="137"/>
      <c r="K15" s="138"/>
      <c r="L15" s="137"/>
      <c r="M15" s="138"/>
      <c r="N15" s="139"/>
    </row>
    <row r="16" spans="1:14" x14ac:dyDescent="0.25">
      <c r="A16" s="119"/>
      <c r="B16" s="119"/>
      <c r="C16" s="119"/>
      <c r="D16" s="119"/>
      <c r="E16" s="119"/>
      <c r="F16" s="104" t="str">
        <f t="shared" si="0"/>
        <v>9.1</v>
      </c>
      <c r="G16" s="140"/>
      <c r="H16" s="424"/>
      <c r="I16" s="425"/>
      <c r="J16" s="425"/>
      <c r="K16" s="425"/>
      <c r="L16" s="425"/>
      <c r="M16" s="425"/>
      <c r="N16" s="426"/>
    </row>
    <row r="17" spans="1:14" x14ac:dyDescent="0.25">
      <c r="A17" s="16"/>
      <c r="B17" s="16"/>
      <c r="C17" s="100"/>
      <c r="D17" s="100"/>
      <c r="E17" s="100"/>
      <c r="F17" s="104" t="str">
        <f t="shared" si="0"/>
        <v>9.1</v>
      </c>
      <c r="G17" s="151" t="str">
        <f>"odd. C "&amp;F17</f>
        <v>odd. C 9.1</v>
      </c>
      <c r="H17" s="152" t="s">
        <v>19</v>
      </c>
      <c r="I17" s="153"/>
      <c r="J17" s="153"/>
      <c r="K17" s="154"/>
      <c r="L17" s="153"/>
      <c r="M17" s="154"/>
      <c r="N17" s="155"/>
    </row>
    <row r="18" spans="1:14" ht="15.75" thickBot="1" x14ac:dyDescent="0.3">
      <c r="A18" s="117"/>
      <c r="B18" s="117"/>
      <c r="C18" s="117"/>
      <c r="D18" s="117"/>
      <c r="E18" s="117"/>
      <c r="F18" s="104" t="str">
        <f t="shared" si="0"/>
        <v>9.1</v>
      </c>
      <c r="G18" s="156"/>
      <c r="H18" s="427"/>
      <c r="I18" s="428"/>
      <c r="J18" s="428"/>
      <c r="K18" s="428"/>
      <c r="L18" s="428"/>
      <c r="M18" s="428"/>
      <c r="N18" s="429"/>
    </row>
    <row r="19" spans="1:14" collapsed="1" x14ac:dyDescent="0.25">
      <c r="A19" s="72"/>
      <c r="B19" s="72"/>
      <c r="C19" s="96"/>
      <c r="D19" s="96"/>
      <c r="E19" s="96"/>
      <c r="F19" s="105">
        <v>2</v>
      </c>
      <c r="G19" s="13" t="s">
        <v>17</v>
      </c>
      <c r="H19" s="3" t="s">
        <v>255</v>
      </c>
      <c r="I19" s="7"/>
      <c r="J19" s="162" t="str">
        <f>$J$5</f>
        <v>současný stav</v>
      </c>
      <c r="K19" s="130" t="str">
        <f>$K$5</f>
        <v>současný stav</v>
      </c>
      <c r="L19" s="162" t="str">
        <f>$L$5</f>
        <v>plánovaný stav</v>
      </c>
      <c r="M19" s="86" t="str">
        <f>$M$5</f>
        <v>plánovaný stav</v>
      </c>
      <c r="N19" s="157" t="str">
        <f>$N$5</f>
        <v>pokrok</v>
      </c>
    </row>
    <row r="20" spans="1:14" x14ac:dyDescent="0.25">
      <c r="A20" s="73"/>
      <c r="B20" s="73"/>
      <c r="C20" s="97"/>
      <c r="D20" s="97"/>
      <c r="E20" s="97"/>
      <c r="F20" s="108" t="str">
        <f>G20</f>
        <v>9.2</v>
      </c>
      <c r="G20" s="70" t="str">
        <f>$G$2&amp;F19</f>
        <v>9.2</v>
      </c>
      <c r="H20" s="4" t="s">
        <v>256</v>
      </c>
      <c r="I20" s="12"/>
      <c r="J20" s="163" t="str">
        <f>$J$6</f>
        <v>výběr úrovně</v>
      </c>
      <c r="K20" s="131" t="str">
        <f>$K$6</f>
        <v>bodové hodnocení</v>
      </c>
      <c r="L20" s="163" t="str">
        <f>$L$6</f>
        <v>výběr úrovně</v>
      </c>
      <c r="M20" s="88" t="str">
        <f>$M$6</f>
        <v>bodové hodnocení</v>
      </c>
      <c r="N20" s="158" t="str">
        <f>$N$6</f>
        <v>bodové hodnocení</v>
      </c>
    </row>
    <row r="21" spans="1:14" ht="15.75" thickBot="1" x14ac:dyDescent="0.3">
      <c r="A21" s="74"/>
      <c r="B21" s="74"/>
      <c r="C21" s="101"/>
      <c r="D21" s="101"/>
      <c r="E21" s="101"/>
      <c r="F21" s="104" t="str">
        <f t="shared" ref="F21:F27" si="2">F20</f>
        <v>9.2</v>
      </c>
      <c r="G21" s="14"/>
      <c r="H21" s="15"/>
      <c r="I21" s="8"/>
      <c r="J21" s="164"/>
      <c r="K21" s="132" t="str">
        <f>$K$7</f>
        <v>B</v>
      </c>
      <c r="L21" s="164"/>
      <c r="M21" s="89"/>
      <c r="N21" s="159" t="str">
        <f>$N$7</f>
        <v>C</v>
      </c>
    </row>
    <row r="22" spans="1:14" x14ac:dyDescent="0.25">
      <c r="A22" s="69">
        <f>IF(G22="a.",0,IF(G22="b.",1,IF(G22="c.",2,IF(G22="d.",3,IF(G22="e.",4,IF(G22="f.",5,IF(G22="g.",6,IF(G22="h.",7,IF(G22="i.",8,IF(G22="j.",9,""))))))))))</f>
        <v>0</v>
      </c>
      <c r="B22" s="103">
        <f>MAX(A22:A24)</f>
        <v>1</v>
      </c>
      <c r="C22" s="98">
        <f>SUM(K22:K24)</f>
        <v>0</v>
      </c>
      <c r="D22" s="98">
        <f>SUM(M22:M24)</f>
        <v>0</v>
      </c>
      <c r="E22" s="98">
        <f>D22-C22</f>
        <v>0</v>
      </c>
      <c r="F22" s="104" t="str">
        <f t="shared" si="2"/>
        <v>9.2</v>
      </c>
      <c r="G22" s="9" t="s">
        <v>6</v>
      </c>
      <c r="H22" s="77" t="s">
        <v>7</v>
      </c>
      <c r="I22" s="79">
        <f>IF(A22&lt;&gt;"",A22/B22*2,"")</f>
        <v>0</v>
      </c>
      <c r="J22" s="218" t="s">
        <v>298</v>
      </c>
      <c r="K22" s="133">
        <f>IF(J22="","",I22)</f>
        <v>0</v>
      </c>
      <c r="L22" s="218" t="s">
        <v>298</v>
      </c>
      <c r="M22" s="90">
        <f>IF(L22="","",I22)</f>
        <v>0</v>
      </c>
      <c r="N22" s="160">
        <f>IF(AND(M22&lt;&gt;"",E22&gt;=0),E22,"")</f>
        <v>0</v>
      </c>
    </row>
    <row r="23" spans="1:14" x14ac:dyDescent="0.25">
      <c r="A23" s="69">
        <f>IF(G23="a.",0,IF(G23="b.",1,IF(G23="c.",2,IF(G23="d.",3,IF(G23="e.",4,IF(G23="f.",5,IF(G23="g.",6,IF(G23="h.",7,IF(G23="i.",8,IF(G23="j.",9,""))))))))))</f>
        <v>1</v>
      </c>
      <c r="B23" s="99">
        <f t="shared" ref="B23" si="3">B22</f>
        <v>1</v>
      </c>
      <c r="C23" s="93"/>
      <c r="D23" s="93"/>
      <c r="E23" s="99">
        <f>E22</f>
        <v>0</v>
      </c>
      <c r="F23" s="104" t="str">
        <f t="shared" si="2"/>
        <v>9.2</v>
      </c>
      <c r="G23" s="2" t="s">
        <v>8</v>
      </c>
      <c r="H23" s="78" t="s">
        <v>254</v>
      </c>
      <c r="I23" s="79">
        <f>IF(A23&lt;&gt;"",A23/B23*2,"")</f>
        <v>2</v>
      </c>
      <c r="J23" s="219"/>
      <c r="K23" s="134" t="str">
        <f>IF(J23="","",I23)</f>
        <v/>
      </c>
      <c r="L23" s="219"/>
      <c r="M23" s="91" t="str">
        <f>IF(L23="","",I23)</f>
        <v/>
      </c>
      <c r="N23" s="161" t="str">
        <f>IF(AND(M23&lt;&gt;"",E23&gt;=0),E23,"")</f>
        <v/>
      </c>
    </row>
    <row r="24" spans="1:14" x14ac:dyDescent="0.25">
      <c r="A24" s="115"/>
      <c r="B24" s="115"/>
      <c r="C24" s="116"/>
      <c r="D24" s="116"/>
      <c r="E24" s="116"/>
      <c r="F24" s="104" t="str">
        <f t="shared" si="2"/>
        <v>9.2</v>
      </c>
      <c r="G24" s="135" t="str">
        <f>"odd. B "&amp;F24</f>
        <v>odd. B 9.2</v>
      </c>
      <c r="H24" s="136" t="s">
        <v>18</v>
      </c>
      <c r="I24" s="137"/>
      <c r="J24" s="137"/>
      <c r="K24" s="138"/>
      <c r="L24" s="137"/>
      <c r="M24" s="138"/>
      <c r="N24" s="139"/>
    </row>
    <row r="25" spans="1:14" x14ac:dyDescent="0.25">
      <c r="A25" s="119"/>
      <c r="B25" s="119"/>
      <c r="C25" s="119"/>
      <c r="D25" s="119"/>
      <c r="E25" s="119"/>
      <c r="F25" s="104" t="str">
        <f t="shared" si="2"/>
        <v>9.2</v>
      </c>
      <c r="G25" s="140"/>
      <c r="H25" s="424"/>
      <c r="I25" s="425"/>
      <c r="J25" s="425"/>
      <c r="K25" s="425"/>
      <c r="L25" s="425"/>
      <c r="M25" s="425"/>
      <c r="N25" s="426"/>
    </row>
    <row r="26" spans="1:14" x14ac:dyDescent="0.25">
      <c r="A26" s="16"/>
      <c r="B26" s="16"/>
      <c r="C26" s="100"/>
      <c r="D26" s="100"/>
      <c r="E26" s="100"/>
      <c r="F26" s="104" t="str">
        <f t="shared" si="2"/>
        <v>9.2</v>
      </c>
      <c r="G26" s="151" t="str">
        <f>"odd. C "&amp;F26</f>
        <v>odd. C 9.2</v>
      </c>
      <c r="H26" s="152" t="s">
        <v>19</v>
      </c>
      <c r="I26" s="153"/>
      <c r="J26" s="153"/>
      <c r="K26" s="154"/>
      <c r="L26" s="153"/>
      <c r="M26" s="154"/>
      <c r="N26" s="155"/>
    </row>
    <row r="27" spans="1:14" ht="15.75" thickBot="1" x14ac:dyDescent="0.3">
      <c r="A27" s="117"/>
      <c r="B27" s="117"/>
      <c r="C27" s="117"/>
      <c r="D27" s="117"/>
      <c r="E27" s="117"/>
      <c r="F27" s="104" t="str">
        <f t="shared" si="2"/>
        <v>9.2</v>
      </c>
      <c r="G27" s="156"/>
      <c r="H27" s="427"/>
      <c r="I27" s="428"/>
      <c r="J27" s="428"/>
      <c r="K27" s="428"/>
      <c r="L27" s="428"/>
      <c r="M27" s="428"/>
      <c r="N27" s="429"/>
    </row>
    <row r="28" spans="1:14" collapsed="1" x14ac:dyDescent="0.25">
      <c r="A28" s="72"/>
      <c r="B28" s="72"/>
      <c r="C28" s="96"/>
      <c r="D28" s="96"/>
      <c r="E28" s="96"/>
      <c r="F28" s="105">
        <v>3</v>
      </c>
      <c r="G28" s="13" t="s">
        <v>17</v>
      </c>
      <c r="H28" s="3" t="s">
        <v>257</v>
      </c>
      <c r="I28" s="7"/>
      <c r="J28" s="162" t="str">
        <f>$J$5</f>
        <v>současný stav</v>
      </c>
      <c r="K28" s="130" t="str">
        <f>$K$5</f>
        <v>současný stav</v>
      </c>
      <c r="L28" s="162" t="str">
        <f>$L$5</f>
        <v>plánovaný stav</v>
      </c>
      <c r="M28" s="86" t="str">
        <f>$M$5</f>
        <v>plánovaný stav</v>
      </c>
      <c r="N28" s="157" t="str">
        <f>$N$5</f>
        <v>pokrok</v>
      </c>
    </row>
    <row r="29" spans="1:14" x14ac:dyDescent="0.25">
      <c r="A29" s="73"/>
      <c r="B29" s="73"/>
      <c r="C29" s="97"/>
      <c r="D29" s="97"/>
      <c r="E29" s="97"/>
      <c r="F29" s="108" t="str">
        <f>G29</f>
        <v>9.3</v>
      </c>
      <c r="G29" s="70" t="str">
        <f>$G$2&amp;F28</f>
        <v>9.3</v>
      </c>
      <c r="H29" s="4" t="s">
        <v>258</v>
      </c>
      <c r="I29" s="12"/>
      <c r="J29" s="163" t="str">
        <f>$J$6</f>
        <v>výběr úrovně</v>
      </c>
      <c r="K29" s="131" t="str">
        <f>$K$6</f>
        <v>bodové hodnocení</v>
      </c>
      <c r="L29" s="163" t="str">
        <f>$L$6</f>
        <v>výběr úrovně</v>
      </c>
      <c r="M29" s="88" t="str">
        <f>$M$6</f>
        <v>bodové hodnocení</v>
      </c>
      <c r="N29" s="158" t="str">
        <f>$N$6</f>
        <v>bodové hodnocení</v>
      </c>
    </row>
    <row r="30" spans="1:14" ht="15.75" thickBot="1" x14ac:dyDescent="0.3">
      <c r="A30" s="74"/>
      <c r="B30" s="74"/>
      <c r="C30" s="101"/>
      <c r="D30" s="101"/>
      <c r="E30" s="101"/>
      <c r="F30" s="104" t="str">
        <f t="shared" ref="F30:F37" si="4">F29</f>
        <v>9.3</v>
      </c>
      <c r="G30" s="14"/>
      <c r="H30" s="15"/>
      <c r="I30" s="8"/>
      <c r="J30" s="164"/>
      <c r="K30" s="132" t="str">
        <f>$K$7</f>
        <v>B</v>
      </c>
      <c r="L30" s="164"/>
      <c r="M30" s="89"/>
      <c r="N30" s="159" t="str">
        <f>$N$7</f>
        <v>C</v>
      </c>
    </row>
    <row r="31" spans="1:14" x14ac:dyDescent="0.25">
      <c r="A31" s="69">
        <f>IF(G31="a.",0,IF(G31="b.",1,IF(G31="c.",2,IF(G31="d.",3,IF(G31="e.",4,IF(G31="f.",5,IF(G31="g.",6,IF(G31="h.",7,IF(G31="i.",8,IF(G31="j.",9,""))))))))))</f>
        <v>0</v>
      </c>
      <c r="B31" s="103">
        <f>MAX(A31:A34)</f>
        <v>2</v>
      </c>
      <c r="C31" s="98">
        <f>SUM(K31:K34)</f>
        <v>0</v>
      </c>
      <c r="D31" s="98">
        <f>SUM(M31:M34)</f>
        <v>0</v>
      </c>
      <c r="E31" s="98">
        <f>D31-C31</f>
        <v>0</v>
      </c>
      <c r="F31" s="104" t="str">
        <f t="shared" si="4"/>
        <v>9.3</v>
      </c>
      <c r="G31" s="2" t="s">
        <v>6</v>
      </c>
      <c r="H31" s="1" t="s">
        <v>7</v>
      </c>
      <c r="I31" s="79">
        <f>IF(A31&lt;&gt;"",A31/B31*2,"")</f>
        <v>0</v>
      </c>
      <c r="J31" s="218" t="s">
        <v>298</v>
      </c>
      <c r="K31" s="133">
        <f>IF(J31="","",I31)</f>
        <v>0</v>
      </c>
      <c r="L31" s="218" t="s">
        <v>298</v>
      </c>
      <c r="M31" s="90">
        <f>IF(L31="","",I31)</f>
        <v>0</v>
      </c>
      <c r="N31" s="160">
        <f>IF(AND(M31&lt;&gt;"",E31&gt;=0),E31,"")</f>
        <v>0</v>
      </c>
    </row>
    <row r="32" spans="1:14" x14ac:dyDescent="0.25">
      <c r="A32" s="69">
        <f>IF(G32="a.",0,IF(G32="b.",1,IF(G32="c.",2,IF(G32="d.",3,IF(G32="e.",4,IF(G32="f.",5,IF(G32="g.",6,IF(G32="h.",7,IF(G32="i.",8,IF(G32="j.",9,""))))))))))</f>
        <v>1</v>
      </c>
      <c r="B32" s="99">
        <f t="shared" ref="B32:B33" si="5">B31</f>
        <v>2</v>
      </c>
      <c r="C32" s="93"/>
      <c r="D32" s="93"/>
      <c r="E32" s="99">
        <f>E31</f>
        <v>0</v>
      </c>
      <c r="F32" s="104" t="str">
        <f t="shared" si="4"/>
        <v>9.3</v>
      </c>
      <c r="G32" s="2" t="s">
        <v>8</v>
      </c>
      <c r="H32" s="1" t="s">
        <v>228</v>
      </c>
      <c r="I32" s="79">
        <f>IF(A32&lt;&gt;"",A32/B32*2,"")</f>
        <v>1</v>
      </c>
      <c r="J32" s="219"/>
      <c r="K32" s="134" t="str">
        <f>IF(J32="","",I32)</f>
        <v/>
      </c>
      <c r="L32" s="219"/>
      <c r="M32" s="91" t="str">
        <f>IF(L32="","",I32)</f>
        <v/>
      </c>
      <c r="N32" s="161" t="str">
        <f>IF(AND(M32&lt;&gt;"",E32&gt;=0),E32,"")</f>
        <v/>
      </c>
    </row>
    <row r="33" spans="1:14" x14ac:dyDescent="0.25">
      <c r="A33" s="69">
        <f>IF(G33="a.",0,IF(G33="b.",1,IF(G33="c.",2,IF(G33="d.",3,IF(G33="e.",4,IF(G33="f.",5,IF(G33="g.",6,IF(G33="h.",7,IF(G33="i.",8,IF(G33="j.",9,""))))))))))</f>
        <v>2</v>
      </c>
      <c r="B33" s="99">
        <f t="shared" si="5"/>
        <v>2</v>
      </c>
      <c r="C33" s="93"/>
      <c r="D33" s="93"/>
      <c r="E33" s="99">
        <f>E32</f>
        <v>0</v>
      </c>
      <c r="F33" s="104" t="str">
        <f t="shared" si="4"/>
        <v>9.3</v>
      </c>
      <c r="G33" s="2" t="s">
        <v>10</v>
      </c>
      <c r="H33" s="1" t="s">
        <v>229</v>
      </c>
      <c r="I33" s="79">
        <f>IF(A33&lt;&gt;"",A33/B33*2,"")</f>
        <v>2</v>
      </c>
      <c r="J33" s="219"/>
      <c r="K33" s="134" t="str">
        <f>IF(J33="","",I33)</f>
        <v/>
      </c>
      <c r="L33" s="219"/>
      <c r="M33" s="91" t="str">
        <f>IF(L33="","",I33)</f>
        <v/>
      </c>
      <c r="N33" s="161" t="str">
        <f>IF(AND(M33&lt;&gt;"",E33&gt;=0),E33,"")</f>
        <v/>
      </c>
    </row>
    <row r="34" spans="1:14" x14ac:dyDescent="0.25">
      <c r="A34" s="115"/>
      <c r="B34" s="115"/>
      <c r="C34" s="116"/>
      <c r="D34" s="116"/>
      <c r="E34" s="116"/>
      <c r="F34" s="104" t="str">
        <f t="shared" si="4"/>
        <v>9.3</v>
      </c>
      <c r="G34" s="135" t="str">
        <f>"odd. B "&amp;F34</f>
        <v>odd. B 9.3</v>
      </c>
      <c r="H34" s="136" t="s">
        <v>18</v>
      </c>
      <c r="I34" s="137"/>
      <c r="J34" s="137"/>
      <c r="K34" s="138"/>
      <c r="L34" s="137"/>
      <c r="M34" s="138"/>
      <c r="N34" s="139"/>
    </row>
    <row r="35" spans="1:14" x14ac:dyDescent="0.25">
      <c r="A35" s="119"/>
      <c r="B35" s="119"/>
      <c r="C35" s="119"/>
      <c r="D35" s="119"/>
      <c r="E35" s="119"/>
      <c r="F35" s="104" t="str">
        <f t="shared" si="4"/>
        <v>9.3</v>
      </c>
      <c r="G35" s="140"/>
      <c r="H35" s="424"/>
      <c r="I35" s="425"/>
      <c r="J35" s="425"/>
      <c r="K35" s="425"/>
      <c r="L35" s="425"/>
      <c r="M35" s="425"/>
      <c r="N35" s="426"/>
    </row>
    <row r="36" spans="1:14" x14ac:dyDescent="0.25">
      <c r="A36" s="16"/>
      <c r="B36" s="16"/>
      <c r="C36" s="100"/>
      <c r="D36" s="100"/>
      <c r="E36" s="100"/>
      <c r="F36" s="104" t="str">
        <f t="shared" si="4"/>
        <v>9.3</v>
      </c>
      <c r="G36" s="151" t="str">
        <f>"odd. C "&amp;F36</f>
        <v>odd. C 9.3</v>
      </c>
      <c r="H36" s="152" t="s">
        <v>19</v>
      </c>
      <c r="I36" s="153"/>
      <c r="J36" s="153"/>
      <c r="K36" s="154"/>
      <c r="L36" s="153"/>
      <c r="M36" s="154"/>
      <c r="N36" s="155"/>
    </row>
    <row r="37" spans="1:14" ht="15.75" thickBot="1" x14ac:dyDescent="0.3">
      <c r="A37" s="117"/>
      <c r="B37" s="117"/>
      <c r="C37" s="117"/>
      <c r="D37" s="117"/>
      <c r="E37" s="117"/>
      <c r="F37" s="104" t="str">
        <f t="shared" si="4"/>
        <v>9.3</v>
      </c>
      <c r="G37" s="156"/>
      <c r="H37" s="427"/>
      <c r="I37" s="428"/>
      <c r="J37" s="428"/>
      <c r="K37" s="428"/>
      <c r="L37" s="428"/>
      <c r="M37" s="428"/>
      <c r="N37" s="429"/>
    </row>
    <row r="38" spans="1:14" collapsed="1" x14ac:dyDescent="0.25">
      <c r="A38" s="72"/>
      <c r="B38" s="72"/>
      <c r="C38" s="96"/>
      <c r="D38" s="96"/>
      <c r="E38" s="96"/>
      <c r="F38" s="105">
        <v>4</v>
      </c>
      <c r="G38" s="13" t="s">
        <v>17</v>
      </c>
      <c r="H38" s="3" t="s">
        <v>259</v>
      </c>
      <c r="I38" s="7"/>
      <c r="J38" s="162" t="str">
        <f>$J$5</f>
        <v>současný stav</v>
      </c>
      <c r="K38" s="130" t="str">
        <f>$K$5</f>
        <v>současný stav</v>
      </c>
      <c r="L38" s="162" t="str">
        <f>$L$5</f>
        <v>plánovaný stav</v>
      </c>
      <c r="M38" s="86" t="str">
        <f>$M$5</f>
        <v>plánovaný stav</v>
      </c>
      <c r="N38" s="157" t="str">
        <f>$N$5</f>
        <v>pokrok</v>
      </c>
    </row>
    <row r="39" spans="1:14" x14ac:dyDescent="0.25">
      <c r="A39" s="73"/>
      <c r="B39" s="73"/>
      <c r="C39" s="97"/>
      <c r="D39" s="97"/>
      <c r="E39" s="97"/>
      <c r="F39" s="108" t="str">
        <f>G39</f>
        <v>9.4</v>
      </c>
      <c r="G39" s="70" t="str">
        <f>$G$2&amp;F38</f>
        <v>9.4</v>
      </c>
      <c r="H39" s="4" t="s">
        <v>260</v>
      </c>
      <c r="I39" s="12"/>
      <c r="J39" s="163" t="str">
        <f>$J$6</f>
        <v>výběr úrovně</v>
      </c>
      <c r="K39" s="131" t="str">
        <f>$K$6</f>
        <v>bodové hodnocení</v>
      </c>
      <c r="L39" s="163" t="str">
        <f>$L$6</f>
        <v>výběr úrovně</v>
      </c>
      <c r="M39" s="88" t="str">
        <f>$M$6</f>
        <v>bodové hodnocení</v>
      </c>
      <c r="N39" s="158" t="str">
        <f>$N$6</f>
        <v>bodové hodnocení</v>
      </c>
    </row>
    <row r="40" spans="1:14" ht="15.75" thickBot="1" x14ac:dyDescent="0.3">
      <c r="A40" s="74"/>
      <c r="B40" s="74"/>
      <c r="C40" s="101"/>
      <c r="D40" s="101"/>
      <c r="E40" s="101"/>
      <c r="F40" s="104" t="str">
        <f t="shared" ref="F40:F47" si="6">F39</f>
        <v>9.4</v>
      </c>
      <c r="G40" s="14"/>
      <c r="H40" s="15"/>
      <c r="I40" s="8"/>
      <c r="J40" s="164"/>
      <c r="K40" s="132" t="str">
        <f>$K$7</f>
        <v>B</v>
      </c>
      <c r="L40" s="164"/>
      <c r="M40" s="89"/>
      <c r="N40" s="159" t="str">
        <f>$N$7</f>
        <v>C</v>
      </c>
    </row>
    <row r="41" spans="1:14" x14ac:dyDescent="0.25">
      <c r="A41" s="69">
        <f>IF(G41="a.",0,IF(G41="b.",1,IF(G41="c.",2,IF(G41="d.",3,IF(G41="e.",4,IF(G41="f.",5,IF(G41="g.",6,IF(G41="h.",7,IF(G41="i.",8,IF(G41="j.",9,""))))))))))</f>
        <v>0</v>
      </c>
      <c r="B41" s="103">
        <f>MAX(A41:A44)</f>
        <v>2</v>
      </c>
      <c r="C41" s="98">
        <f>SUM(K41:K44)</f>
        <v>0</v>
      </c>
      <c r="D41" s="98">
        <f>SUM(M41:M44)</f>
        <v>0</v>
      </c>
      <c r="E41" s="98">
        <f>D41-C41</f>
        <v>0</v>
      </c>
      <c r="F41" s="104" t="str">
        <f t="shared" si="6"/>
        <v>9.4</v>
      </c>
      <c r="G41" s="2" t="s">
        <v>6</v>
      </c>
      <c r="H41" s="1" t="s">
        <v>7</v>
      </c>
      <c r="I41" s="79">
        <f>IF(A41&lt;&gt;"",A41/B41*2,"")</f>
        <v>0</v>
      </c>
      <c r="J41" s="218" t="s">
        <v>298</v>
      </c>
      <c r="K41" s="133">
        <f>IF(J41="","",I41)</f>
        <v>0</v>
      </c>
      <c r="L41" s="218" t="s">
        <v>298</v>
      </c>
      <c r="M41" s="90">
        <f>IF(L41="","",I41)</f>
        <v>0</v>
      </c>
      <c r="N41" s="160">
        <f>IF(AND(M41&lt;&gt;"",E41&gt;=0),E41,"")</f>
        <v>0</v>
      </c>
    </row>
    <row r="42" spans="1:14" x14ac:dyDescent="0.25">
      <c r="A42" s="69">
        <f>IF(G42="a.",0,IF(G42="b.",1,IF(G42="c.",2,IF(G42="d.",3,IF(G42="e.",4,IF(G42="f.",5,IF(G42="g.",6,IF(G42="h.",7,IF(G42="i.",8,IF(G42="j.",9,""))))))))))</f>
        <v>1</v>
      </c>
      <c r="B42" s="99">
        <f t="shared" ref="B42:B43" si="7">B41</f>
        <v>2</v>
      </c>
      <c r="C42" s="93"/>
      <c r="D42" s="93"/>
      <c r="E42" s="99">
        <f>E41</f>
        <v>0</v>
      </c>
      <c r="F42" s="104" t="str">
        <f t="shared" si="6"/>
        <v>9.4</v>
      </c>
      <c r="G42" s="2" t="s">
        <v>8</v>
      </c>
      <c r="H42" s="1" t="s">
        <v>228</v>
      </c>
      <c r="I42" s="79">
        <f>IF(A42&lt;&gt;"",A42/B42*2,"")</f>
        <v>1</v>
      </c>
      <c r="J42" s="219"/>
      <c r="K42" s="134" t="str">
        <f>IF(J42="","",I42)</f>
        <v/>
      </c>
      <c r="L42" s="219"/>
      <c r="M42" s="91" t="str">
        <f>IF(L42="","",I42)</f>
        <v/>
      </c>
      <c r="N42" s="161" t="str">
        <f>IF(AND(M42&lt;&gt;"",E42&gt;=0),E42,"")</f>
        <v/>
      </c>
    </row>
    <row r="43" spans="1:14" x14ac:dyDescent="0.25">
      <c r="A43" s="69">
        <f>IF(G43="a.",0,IF(G43="b.",1,IF(G43="c.",2,IF(G43="d.",3,IF(G43="e.",4,IF(G43="f.",5,IF(G43="g.",6,IF(G43="h.",7,IF(G43="i.",8,IF(G43="j.",9,""))))))))))</f>
        <v>2</v>
      </c>
      <c r="B43" s="99">
        <f t="shared" si="7"/>
        <v>2</v>
      </c>
      <c r="C43" s="93"/>
      <c r="D43" s="93"/>
      <c r="E43" s="99">
        <f>E42</f>
        <v>0</v>
      </c>
      <c r="F43" s="104" t="str">
        <f t="shared" si="6"/>
        <v>9.4</v>
      </c>
      <c r="G43" s="2" t="s">
        <v>10</v>
      </c>
      <c r="H43" s="1" t="s">
        <v>229</v>
      </c>
      <c r="I43" s="79">
        <f>IF(A43&lt;&gt;"",A43/B43*2,"")</f>
        <v>2</v>
      </c>
      <c r="J43" s="219"/>
      <c r="K43" s="134" t="str">
        <f>IF(J43="","",I43)</f>
        <v/>
      </c>
      <c r="L43" s="219"/>
      <c r="M43" s="91" t="str">
        <f>IF(L43="","",I43)</f>
        <v/>
      </c>
      <c r="N43" s="161" t="str">
        <f>IF(AND(M43&lt;&gt;"",E43&gt;=0),E43,"")</f>
        <v/>
      </c>
    </row>
    <row r="44" spans="1:14" x14ac:dyDescent="0.25">
      <c r="A44" s="115"/>
      <c r="B44" s="115"/>
      <c r="C44" s="116"/>
      <c r="D44" s="116"/>
      <c r="E44" s="116"/>
      <c r="F44" s="104" t="str">
        <f t="shared" si="6"/>
        <v>9.4</v>
      </c>
      <c r="G44" s="135" t="str">
        <f>"odd. B "&amp;F44</f>
        <v>odd. B 9.4</v>
      </c>
      <c r="H44" s="136" t="s">
        <v>18</v>
      </c>
      <c r="I44" s="137"/>
      <c r="J44" s="137"/>
      <c r="K44" s="138"/>
      <c r="L44" s="137"/>
      <c r="M44" s="138"/>
      <c r="N44" s="139"/>
    </row>
    <row r="45" spans="1:14" x14ac:dyDescent="0.25">
      <c r="A45" s="119"/>
      <c r="B45" s="119"/>
      <c r="C45" s="119"/>
      <c r="D45" s="119"/>
      <c r="E45" s="119"/>
      <c r="F45" s="104" t="str">
        <f t="shared" si="6"/>
        <v>9.4</v>
      </c>
      <c r="G45" s="140"/>
      <c r="H45" s="424"/>
      <c r="I45" s="425"/>
      <c r="J45" s="425"/>
      <c r="K45" s="425"/>
      <c r="L45" s="425"/>
      <c r="M45" s="425"/>
      <c r="N45" s="426"/>
    </row>
    <row r="46" spans="1:14" x14ac:dyDescent="0.25">
      <c r="A46" s="16"/>
      <c r="B46" s="16"/>
      <c r="C46" s="100"/>
      <c r="D46" s="100"/>
      <c r="E46" s="100"/>
      <c r="F46" s="104" t="str">
        <f t="shared" si="6"/>
        <v>9.4</v>
      </c>
      <c r="G46" s="151" t="str">
        <f>"odd. C "&amp;F46</f>
        <v>odd. C 9.4</v>
      </c>
      <c r="H46" s="152" t="s">
        <v>19</v>
      </c>
      <c r="I46" s="153"/>
      <c r="J46" s="153"/>
      <c r="K46" s="154"/>
      <c r="L46" s="153"/>
      <c r="M46" s="154"/>
      <c r="N46" s="155"/>
    </row>
    <row r="47" spans="1:14" ht="15.75" thickBot="1" x14ac:dyDescent="0.3">
      <c r="A47" s="117"/>
      <c r="B47" s="117"/>
      <c r="C47" s="117"/>
      <c r="D47" s="117"/>
      <c r="E47" s="117"/>
      <c r="F47" s="104" t="str">
        <f t="shared" si="6"/>
        <v>9.4</v>
      </c>
      <c r="G47" s="156"/>
      <c r="H47" s="427"/>
      <c r="I47" s="428"/>
      <c r="J47" s="428"/>
      <c r="K47" s="428"/>
      <c r="L47" s="428"/>
      <c r="M47" s="428"/>
      <c r="N47" s="429"/>
    </row>
  </sheetData>
  <sheetProtection algorithmName="SHA-512" hashValue="8f8FmjYQuV5nFGhqZZ4xEBFYEk4abkhX8R/xwg+P7DN7fzzHS1C/Gc6fsose9rcyyS7NkEPd2qXDZQQuzXhfYg==" saltValue="h+MKZn++t3+K2vsGVO5pjg==" spinCount="100000" sheet="1" objects="1" scenarios="1" formatCells="0"/>
  <mergeCells count="11">
    <mergeCell ref="J2:N2"/>
    <mergeCell ref="J9:N9"/>
    <mergeCell ref="G1:N1"/>
    <mergeCell ref="H16:N16"/>
    <mergeCell ref="H18:N18"/>
    <mergeCell ref="H47:N47"/>
    <mergeCell ref="H25:N25"/>
    <mergeCell ref="H27:N27"/>
    <mergeCell ref="H35:N35"/>
    <mergeCell ref="H37:N37"/>
    <mergeCell ref="H45:N45"/>
  </mergeCells>
  <conditionalFormatting sqref="I3">
    <cfRule type="expression" dxfId="34" priority="17">
      <formula>$J$8&lt;&gt;COUNTIF(I9:I111,2)</formula>
    </cfRule>
  </conditionalFormatting>
  <conditionalFormatting sqref="I4">
    <cfRule type="expression" dxfId="33" priority="18">
      <formula>$L$8&lt;&gt;COUNTIF(I9:I111,2)</formula>
    </cfRule>
  </conditionalFormatting>
  <conditionalFormatting sqref="G3">
    <cfRule type="expression" dxfId="32" priority="15">
      <formula>$J$8&lt;&gt;COUNTIF(I9:I111,2)</formula>
    </cfRule>
  </conditionalFormatting>
  <conditionalFormatting sqref="J3">
    <cfRule type="expression" dxfId="31" priority="14">
      <formula>$J$8&lt;&gt;COUNTIF(I9:I111,2)</formula>
    </cfRule>
  </conditionalFormatting>
  <conditionalFormatting sqref="K3">
    <cfRule type="expression" dxfId="30" priority="13">
      <formula>$J$8&lt;&gt;COUNTIF(I9:I111,2)</formula>
    </cfRule>
  </conditionalFormatting>
  <conditionalFormatting sqref="L3">
    <cfRule type="expression" dxfId="29" priority="12">
      <formula>$J$8&lt;&gt;COUNTIF(I9:I111,2)</formula>
    </cfRule>
  </conditionalFormatting>
  <conditionalFormatting sqref="M3">
    <cfRule type="expression" dxfId="28" priority="11">
      <formula>$J$8&lt;&gt;COUNTIF(I9:I111,2)</formula>
    </cfRule>
  </conditionalFormatting>
  <conditionalFormatting sqref="N3">
    <cfRule type="expression" dxfId="27" priority="10">
      <formula>$J$8&lt;&gt;COUNTIF(I9:I111,2)</formula>
    </cfRule>
  </conditionalFormatting>
  <conditionalFormatting sqref="G4">
    <cfRule type="expression" dxfId="26" priority="8">
      <formula>$L$8&lt;&gt;COUNTIF(I9:I111,2)</formula>
    </cfRule>
  </conditionalFormatting>
  <conditionalFormatting sqref="J4">
    <cfRule type="expression" dxfId="25" priority="7">
      <formula>$L$8&lt;&gt;COUNTIF(I9:I111,2)</formula>
    </cfRule>
  </conditionalFormatting>
  <conditionalFormatting sqref="K4">
    <cfRule type="expression" dxfId="24" priority="6">
      <formula>$L$8&lt;&gt;COUNTIF(I9:I111,2)</formula>
    </cfRule>
  </conditionalFormatting>
  <conditionalFormatting sqref="L4">
    <cfRule type="expression" dxfId="23" priority="5">
      <formula>$L$8&lt;&gt;COUNTIF(I9:I111,2)</formula>
    </cfRule>
  </conditionalFormatting>
  <conditionalFormatting sqref="M4">
    <cfRule type="expression" dxfId="22" priority="4">
      <formula>$L$8&lt;&gt;COUNTIF(I9:I111,2)</formula>
    </cfRule>
  </conditionalFormatting>
  <conditionalFormatting sqref="N4">
    <cfRule type="expression" dxfId="21" priority="3">
      <formula>$L$8&lt;&gt;COUNTIF(I9:I111,2)</formula>
    </cfRule>
  </conditionalFormatting>
  <conditionalFormatting sqref="H3">
    <cfRule type="expression" dxfId="20" priority="2">
      <formula>$J$8&lt;&gt;COUNTIF(I9:I111,2)</formula>
    </cfRule>
  </conditionalFormatting>
  <conditionalFormatting sqref="H4">
    <cfRule type="expression" dxfId="19" priority="1">
      <formula>$L$8&lt;&gt;COUNTIF(I9:I111,2)</formula>
    </cfRule>
  </conditionalFormatting>
  <pageMargins left="0.7" right="0.7" top="0.78740157499999996" bottom="0.78740157499999996" header="0.3" footer="0.3"/>
  <pageSetup paperSize="9" scale="5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topLeftCell="G1" zoomScale="85" zoomScaleNormal="85" workbookViewId="0">
      <pane xSplit="1" ySplit="9" topLeftCell="H10" activePane="bottomRight" state="frozen"/>
      <selection activeCell="G1" sqref="G1"/>
      <selection pane="topRight" activeCell="H1" sqref="H1"/>
      <selection pane="bottomLeft" activeCell="G10" sqref="G10"/>
      <selection pane="bottomRight" activeCell="H10" sqref="H10"/>
    </sheetView>
  </sheetViews>
  <sheetFormatPr defaultColWidth="9.140625" defaultRowHeight="15" outlineLevelRow="1" outlineLevelCol="1" x14ac:dyDescent="0.25"/>
  <cols>
    <col min="1" max="1" width="1.85546875" style="5" hidden="1" customWidth="1" outlineLevel="1"/>
    <col min="2" max="2" width="4" style="5" hidden="1" customWidth="1" outlineLevel="1"/>
    <col min="3" max="5" width="4" style="102" hidden="1" customWidth="1" outlineLevel="1"/>
    <col min="6" max="6" width="4.5703125" style="80" hidden="1" customWidth="1" outlineLevel="1"/>
    <col min="7" max="7" width="10.7109375" style="5" customWidth="1" collapsed="1"/>
    <col min="8" max="8" width="130.7109375" style="5" customWidth="1"/>
    <col min="9" max="10" width="15.7109375" style="5" customWidth="1"/>
    <col min="11" max="11" width="15.7109375" style="84" customWidth="1"/>
    <col min="12" max="12" width="15.7109375" style="5" customWidth="1"/>
    <col min="13" max="14" width="15.7109375" style="84" customWidth="1"/>
    <col min="15" max="16384" width="9.140625" style="5"/>
  </cols>
  <sheetData>
    <row r="1" spans="1:14" ht="15.75" thickBot="1" x14ac:dyDescent="0.3">
      <c r="A1" s="118"/>
      <c r="B1" s="118"/>
      <c r="C1" s="118"/>
      <c r="D1" s="118"/>
      <c r="E1" s="118"/>
      <c r="F1" s="118"/>
      <c r="G1" s="437" t="s">
        <v>262</v>
      </c>
      <c r="H1" s="438"/>
      <c r="I1" s="438"/>
      <c r="J1" s="438"/>
      <c r="K1" s="438"/>
      <c r="L1" s="438"/>
      <c r="M1" s="438"/>
      <c r="N1" s="439"/>
    </row>
    <row r="2" spans="1:14" ht="32.25" thickBot="1" x14ac:dyDescent="0.3">
      <c r="A2" s="6"/>
      <c r="B2" s="6"/>
      <c r="C2" s="37"/>
      <c r="D2" s="37"/>
      <c r="E2" s="37"/>
      <c r="F2" s="37"/>
      <c r="G2" s="122" t="s">
        <v>263</v>
      </c>
      <c r="H2" s="123" t="s">
        <v>261</v>
      </c>
      <c r="I2" s="124">
        <f>I3+I4</f>
        <v>4.6666666666666661</v>
      </c>
      <c r="J2" s="433" t="str">
        <f>"/    "&amp;I8&amp;" bodů"</f>
        <v>/    8 bodů</v>
      </c>
      <c r="K2" s="433"/>
      <c r="L2" s="433"/>
      <c r="M2" s="433"/>
      <c r="N2" s="434"/>
    </row>
    <row r="3" spans="1:14" ht="21" x14ac:dyDescent="0.25">
      <c r="A3" s="109"/>
      <c r="B3" s="109"/>
      <c r="C3" s="110"/>
      <c r="D3" s="110"/>
      <c r="E3" s="110"/>
      <c r="F3" s="110"/>
      <c r="G3" s="177" t="str">
        <f>"B "&amp;$G$2</f>
        <v>B 10.</v>
      </c>
      <c r="H3" s="178" t="str">
        <f>IF($J$8&lt;&gt;COUNTIF(I9:I111,2),"Počet odpovědí neodpovídá počtu otázek, prosím zkontrolujte!",$H$2)</f>
        <v>Kybernetická bezpečnost</v>
      </c>
      <c r="I3" s="129">
        <f>K8</f>
        <v>2.6666666666666665</v>
      </c>
      <c r="J3" s="207" t="str">
        <f>$J$2</f>
        <v>/    8 bodů</v>
      </c>
      <c r="K3" s="207"/>
      <c r="L3" s="207"/>
      <c r="M3" s="207"/>
      <c r="N3" s="208"/>
    </row>
    <row r="4" spans="1:14" ht="21.75" thickBot="1" x14ac:dyDescent="0.3">
      <c r="A4" s="113"/>
      <c r="B4" s="113"/>
      <c r="C4" s="114"/>
      <c r="D4" s="114"/>
      <c r="E4" s="114"/>
      <c r="F4" s="114"/>
      <c r="G4" s="175" t="str">
        <f>"C "&amp;$G$2</f>
        <v>C 10.</v>
      </c>
      <c r="H4" s="176" t="str">
        <f>IF($L$8&lt;&gt;COUNTIF(I9:I111,2),"Počet odpovědí neodpovídá počtu otázek, prosím zkontrolujte!",$H$2)</f>
        <v>Kybernetická bezpečnost</v>
      </c>
      <c r="I4" s="141">
        <f>N8</f>
        <v>2</v>
      </c>
      <c r="J4" s="142" t="str">
        <f>$J$2</f>
        <v>/    8 bodů</v>
      </c>
      <c r="K4" s="143"/>
      <c r="L4" s="144"/>
      <c r="M4" s="145"/>
      <c r="N4" s="146"/>
    </row>
    <row r="5" spans="1:14" hidden="1" outlineLevel="1" x14ac:dyDescent="0.25">
      <c r="A5" s="71"/>
      <c r="B5" s="71"/>
      <c r="C5" s="92"/>
      <c r="D5" s="92"/>
      <c r="E5" s="92"/>
      <c r="F5" s="92"/>
      <c r="G5" s="19"/>
      <c r="H5" s="23"/>
      <c r="I5" s="24"/>
      <c r="J5" s="17" t="str">
        <f>'01'!J5</f>
        <v>současný stav</v>
      </c>
      <c r="K5" s="17" t="str">
        <f>'01'!K5</f>
        <v>současný stav</v>
      </c>
      <c r="L5" s="17" t="str">
        <f>'01'!L5</f>
        <v>plánovaný stav</v>
      </c>
      <c r="M5" s="17" t="str">
        <f>'01'!M5</f>
        <v>plánovaný stav</v>
      </c>
      <c r="N5" s="17" t="str">
        <f>'01'!N5</f>
        <v>pokrok</v>
      </c>
    </row>
    <row r="6" spans="1:14" hidden="1" outlineLevel="1" x14ac:dyDescent="0.25">
      <c r="A6" s="11"/>
      <c r="B6" s="11"/>
      <c r="C6" s="93"/>
      <c r="D6" s="93"/>
      <c r="E6" s="93"/>
      <c r="F6" s="93"/>
      <c r="G6" s="20"/>
      <c r="H6" s="25"/>
      <c r="I6" s="26"/>
      <c r="J6" s="18" t="str">
        <f>'01'!J6</f>
        <v>výběr úrovně</v>
      </c>
      <c r="K6" s="18" t="str">
        <f>'01'!K6</f>
        <v>bodové hodnocení</v>
      </c>
      <c r="L6" s="18" t="str">
        <f>'01'!L6</f>
        <v>výběr úrovně</v>
      </c>
      <c r="M6" s="18" t="str">
        <f>'01'!M6</f>
        <v>bodové hodnocení</v>
      </c>
      <c r="N6" s="18" t="str">
        <f>'01'!N6</f>
        <v>bodové hodnocení</v>
      </c>
    </row>
    <row r="7" spans="1:14" hidden="1" outlineLevel="1" x14ac:dyDescent="0.25">
      <c r="A7" s="11"/>
      <c r="B7" s="11"/>
      <c r="C7" s="93"/>
      <c r="D7" s="93"/>
      <c r="E7" s="93"/>
      <c r="F7" s="93"/>
      <c r="G7" s="20"/>
      <c r="H7" s="25"/>
      <c r="I7" s="26"/>
      <c r="J7" s="18"/>
      <c r="K7" s="18" t="str">
        <f>'01'!K7</f>
        <v>B</v>
      </c>
      <c r="L7" s="18"/>
      <c r="M7" s="18"/>
      <c r="N7" s="18" t="str">
        <f>'01'!N7</f>
        <v>C</v>
      </c>
    </row>
    <row r="8" spans="1:14" ht="15.75" hidden="1" outlineLevel="1" thickBot="1" x14ac:dyDescent="0.3">
      <c r="A8" s="27"/>
      <c r="B8" s="27"/>
      <c r="C8" s="94"/>
      <c r="D8" s="94"/>
      <c r="E8" s="94"/>
      <c r="F8" s="94"/>
      <c r="G8" s="21"/>
      <c r="H8" s="27"/>
      <c r="I8" s="38">
        <f>COUNTIF(I9:I54,2)*2</f>
        <v>8</v>
      </c>
      <c r="J8" s="22">
        <f>COUNTIF(J9:J54,"x")</f>
        <v>4</v>
      </c>
      <c r="K8" s="81">
        <f>SUBTOTAL(9,K9:K54)</f>
        <v>2.6666666666666665</v>
      </c>
      <c r="L8" s="22">
        <f>COUNTIF(L9:L54,"x")</f>
        <v>4</v>
      </c>
      <c r="M8" s="81">
        <f>SUBTOTAL(9,M9:M54)</f>
        <v>4.6666666666666661</v>
      </c>
      <c r="N8" s="85">
        <f>SUBTOTAL(9,N9:N54)</f>
        <v>2</v>
      </c>
    </row>
    <row r="9" spans="1:14" s="29" customFormat="1" ht="12.75" collapsed="1" thickBot="1" x14ac:dyDescent="0.3">
      <c r="A9" s="28"/>
      <c r="B9" s="28"/>
      <c r="C9" s="95"/>
      <c r="D9" s="95"/>
      <c r="E9" s="95"/>
      <c r="F9" s="95"/>
      <c r="G9" s="125"/>
      <c r="H9" s="189"/>
      <c r="I9" s="127"/>
      <c r="J9" s="435"/>
      <c r="K9" s="435"/>
      <c r="L9" s="435"/>
      <c r="M9" s="435"/>
      <c r="N9" s="436"/>
    </row>
    <row r="10" spans="1:14" x14ac:dyDescent="0.25">
      <c r="A10" s="72"/>
      <c r="B10" s="72"/>
      <c r="C10" s="96"/>
      <c r="D10" s="96"/>
      <c r="E10" s="96"/>
      <c r="F10" s="105">
        <v>1</v>
      </c>
      <c r="G10" s="13" t="s">
        <v>17</v>
      </c>
      <c r="H10" s="3" t="s">
        <v>264</v>
      </c>
      <c r="I10" s="7"/>
      <c r="J10" s="162" t="str">
        <f>$J$5</f>
        <v>současný stav</v>
      </c>
      <c r="K10" s="130" t="str">
        <f>$K$5</f>
        <v>současný stav</v>
      </c>
      <c r="L10" s="162" t="str">
        <f>$L$5</f>
        <v>plánovaný stav</v>
      </c>
      <c r="M10" s="86" t="str">
        <f>$M$5</f>
        <v>plánovaný stav</v>
      </c>
      <c r="N10" s="157" t="str">
        <f>$N$5</f>
        <v>pokrok</v>
      </c>
    </row>
    <row r="11" spans="1:14" x14ac:dyDescent="0.25">
      <c r="A11" s="73"/>
      <c r="B11" s="73"/>
      <c r="C11" s="97"/>
      <c r="D11" s="97"/>
      <c r="E11" s="97"/>
      <c r="F11" s="108" t="str">
        <f>G11</f>
        <v>10.1</v>
      </c>
      <c r="G11" s="70" t="str">
        <f>$G$2&amp;F10</f>
        <v>10.1</v>
      </c>
      <c r="H11" s="4" t="s">
        <v>265</v>
      </c>
      <c r="I11" s="12"/>
      <c r="J11" s="163" t="str">
        <f>$J$6</f>
        <v>výběr úrovně</v>
      </c>
      <c r="K11" s="131" t="str">
        <f>$K$6</f>
        <v>bodové hodnocení</v>
      </c>
      <c r="L11" s="163" t="str">
        <f>$L$6</f>
        <v>výběr úrovně</v>
      </c>
      <c r="M11" s="88" t="str">
        <f>$M$6</f>
        <v>bodové hodnocení</v>
      </c>
      <c r="N11" s="158" t="str">
        <f>$N$6</f>
        <v>bodové hodnocení</v>
      </c>
    </row>
    <row r="12" spans="1:14" ht="15.75" thickBot="1" x14ac:dyDescent="0.3">
      <c r="A12" s="73"/>
      <c r="B12" s="73"/>
      <c r="C12" s="97"/>
      <c r="D12" s="97"/>
      <c r="E12" s="97"/>
      <c r="F12" s="104" t="str">
        <f>F11</f>
        <v>10.1</v>
      </c>
      <c r="G12" s="14"/>
      <c r="H12" s="15"/>
      <c r="I12" s="8"/>
      <c r="J12" s="164"/>
      <c r="K12" s="132" t="str">
        <f>$K$7</f>
        <v>B</v>
      </c>
      <c r="L12" s="164"/>
      <c r="M12" s="89"/>
      <c r="N12" s="159" t="str">
        <f>$N$7</f>
        <v>C</v>
      </c>
    </row>
    <row r="13" spans="1:14" x14ac:dyDescent="0.25">
      <c r="A13" s="69">
        <f>IF(G13="a.",0,IF(G13="b.",1,IF(G13="c.",2,IF(G13="d.",3,IF(G13="e.",4,IF(G13="f.",5,IF(G13="g.",6,IF(G13="h.",7,IF(G13="i.",8,IF(G13="j.",9,""))))))))))</f>
        <v>0</v>
      </c>
      <c r="B13" s="103">
        <f>MAX(A13:A18)</f>
        <v>4</v>
      </c>
      <c r="C13" s="98">
        <f>SUM(K13:K18)</f>
        <v>0.5</v>
      </c>
      <c r="D13" s="98">
        <f>SUM(M13:M18)</f>
        <v>1.5</v>
      </c>
      <c r="E13" s="98">
        <f>D13-C13</f>
        <v>1</v>
      </c>
      <c r="F13" s="104" t="str">
        <f t="shared" ref="F13:F21" si="0">F12</f>
        <v>10.1</v>
      </c>
      <c r="G13" s="9" t="s">
        <v>6</v>
      </c>
      <c r="H13" s="77" t="s">
        <v>140</v>
      </c>
      <c r="I13" s="79">
        <f>IF(A13&lt;&gt;"",A13/B13*2,"")</f>
        <v>0</v>
      </c>
      <c r="J13" s="218"/>
      <c r="K13" s="133" t="str">
        <f>IF(J13="","",I13)</f>
        <v/>
      </c>
      <c r="L13" s="218"/>
      <c r="M13" s="90" t="str">
        <f>IF(L13="","",I13)</f>
        <v/>
      </c>
      <c r="N13" s="160" t="str">
        <f>IF(AND(M13&lt;&gt;"",E13&gt;=0),E13,"")</f>
        <v/>
      </c>
    </row>
    <row r="14" spans="1:14" x14ac:dyDescent="0.25">
      <c r="A14" s="69">
        <f>IF(G14="a.",0,IF(G14="b.",1,IF(G14="c.",2,IF(G14="d.",3,IF(G14="e.",4,IF(G14="f.",5,IF(G14="g.",6,IF(G14="h.",7,IF(G14="i.",8,IF(G14="j.",9,""))))))))))</f>
        <v>1</v>
      </c>
      <c r="B14" s="99">
        <f t="shared" ref="B14:B17" si="1">B13</f>
        <v>4</v>
      </c>
      <c r="C14" s="93"/>
      <c r="D14" s="93"/>
      <c r="E14" s="99">
        <f>E13</f>
        <v>1</v>
      </c>
      <c r="F14" s="104" t="str">
        <f t="shared" si="0"/>
        <v>10.1</v>
      </c>
      <c r="G14" s="2" t="s">
        <v>8</v>
      </c>
      <c r="H14" s="78" t="s">
        <v>266</v>
      </c>
      <c r="I14" s="79">
        <f>IF(A14&lt;&gt;"",A14/B14*2,"")</f>
        <v>0.5</v>
      </c>
      <c r="J14" s="219" t="s">
        <v>298</v>
      </c>
      <c r="K14" s="134">
        <f>IF(J14="","",I14)</f>
        <v>0.5</v>
      </c>
      <c r="L14" s="219"/>
      <c r="M14" s="91" t="str">
        <f>IF(L14="","",I14)</f>
        <v/>
      </c>
      <c r="N14" s="161" t="str">
        <f>IF(AND(M14&lt;&gt;"",E14&gt;=0),E14,"")</f>
        <v/>
      </c>
    </row>
    <row r="15" spans="1:14" x14ac:dyDescent="0.25">
      <c r="A15" s="69">
        <f>IF(G15="a.",0,IF(G15="b.",1,IF(G15="c.",2,IF(G15="d.",3,IF(G15="e.",4,IF(G15="f.",5,IF(G15="g.",6,IF(G15="h.",7,IF(G15="i.",8,IF(G15="j.",9,""))))))))))</f>
        <v>2</v>
      </c>
      <c r="B15" s="99">
        <f t="shared" si="1"/>
        <v>4</v>
      </c>
      <c r="C15" s="93"/>
      <c r="D15" s="93"/>
      <c r="E15" s="99">
        <f>E14</f>
        <v>1</v>
      </c>
      <c r="F15" s="104" t="str">
        <f t="shared" si="0"/>
        <v>10.1</v>
      </c>
      <c r="G15" s="2" t="s">
        <v>10</v>
      </c>
      <c r="H15" s="78" t="s">
        <v>267</v>
      </c>
      <c r="I15" s="79">
        <f>IF(A15&lt;&gt;"",A15/B15*2,"")</f>
        <v>1</v>
      </c>
      <c r="J15" s="219"/>
      <c r="K15" s="134" t="str">
        <f>IF(J15="","",I15)</f>
        <v/>
      </c>
      <c r="L15" s="219"/>
      <c r="M15" s="91" t="str">
        <f>IF(L15="","",I15)</f>
        <v/>
      </c>
      <c r="N15" s="161" t="str">
        <f>IF(AND(M15&lt;&gt;"",E15&gt;=0),E15,"")</f>
        <v/>
      </c>
    </row>
    <row r="16" spans="1:14" x14ac:dyDescent="0.25">
      <c r="A16" s="69">
        <f>IF(G16="a.",0,IF(G16="b.",1,IF(G16="c.",2,IF(G16="d.",3,IF(G16="e.",4,IF(G16="f.",5,IF(G16="g.",6,IF(G16="h.",7,IF(G16="i.",8,IF(G16="j.",9,""))))))))))</f>
        <v>3</v>
      </c>
      <c r="B16" s="99">
        <f t="shared" si="1"/>
        <v>4</v>
      </c>
      <c r="C16" s="93"/>
      <c r="D16" s="93"/>
      <c r="E16" s="99">
        <f>E15</f>
        <v>1</v>
      </c>
      <c r="F16" s="104" t="str">
        <f t="shared" si="0"/>
        <v>10.1</v>
      </c>
      <c r="G16" s="75" t="s">
        <v>68</v>
      </c>
      <c r="H16" s="76" t="s">
        <v>268</v>
      </c>
      <c r="I16" s="79">
        <f>IF(A16&lt;&gt;"",A16/B16*2,"")</f>
        <v>1.5</v>
      </c>
      <c r="J16" s="219"/>
      <c r="K16" s="134" t="str">
        <f t="shared" ref="K16:K17" si="2">IF(J16="","",I16)</f>
        <v/>
      </c>
      <c r="L16" s="219" t="s">
        <v>298</v>
      </c>
      <c r="M16" s="91">
        <f t="shared" ref="M16:M17" si="3">IF(L16="","",I16)</f>
        <v>1.5</v>
      </c>
      <c r="N16" s="161">
        <f>IF(AND(M16&lt;&gt;"",E16&gt;=0),E16,"")</f>
        <v>1</v>
      </c>
    </row>
    <row r="17" spans="1:14" x14ac:dyDescent="0.25">
      <c r="A17" s="69">
        <f>IF(G17="a.",0,IF(G17="b.",1,IF(G17="c.",2,IF(G17="d.",3,IF(G17="e.",4,IF(G17="f.",5,IF(G17="g.",6,IF(G17="h.",7,IF(G17="i.",8,IF(G17="j.",9,""))))))))))</f>
        <v>4</v>
      </c>
      <c r="B17" s="99">
        <f t="shared" si="1"/>
        <v>4</v>
      </c>
      <c r="C17" s="93"/>
      <c r="D17" s="93"/>
      <c r="E17" s="99">
        <f>E16</f>
        <v>1</v>
      </c>
      <c r="F17" s="104" t="str">
        <f t="shared" si="0"/>
        <v>10.1</v>
      </c>
      <c r="G17" s="2" t="s">
        <v>92</v>
      </c>
      <c r="H17" s="76" t="s">
        <v>269</v>
      </c>
      <c r="I17" s="79">
        <f>IF(A17&lt;&gt;"",A17/B17*2,"")</f>
        <v>2</v>
      </c>
      <c r="J17" s="219"/>
      <c r="K17" s="134" t="str">
        <f t="shared" si="2"/>
        <v/>
      </c>
      <c r="L17" s="219"/>
      <c r="M17" s="91" t="str">
        <f t="shared" si="3"/>
        <v/>
      </c>
      <c r="N17" s="161" t="str">
        <f>IF(AND(M17&lt;&gt;"",E17&gt;=0),E17,"")</f>
        <v/>
      </c>
    </row>
    <row r="18" spans="1:14" x14ac:dyDescent="0.25">
      <c r="A18" s="115"/>
      <c r="B18" s="115"/>
      <c r="C18" s="116"/>
      <c r="D18" s="116"/>
      <c r="E18" s="116"/>
      <c r="F18" s="104" t="str">
        <f t="shared" si="0"/>
        <v>10.1</v>
      </c>
      <c r="G18" s="135" t="str">
        <f>"odd. B "&amp;F18</f>
        <v>odd. B 10.1</v>
      </c>
      <c r="H18" s="136" t="s">
        <v>18</v>
      </c>
      <c r="I18" s="137"/>
      <c r="J18" s="137"/>
      <c r="K18" s="138"/>
      <c r="L18" s="137"/>
      <c r="M18" s="138"/>
      <c r="N18" s="139"/>
    </row>
    <row r="19" spans="1:14" x14ac:dyDescent="0.25">
      <c r="A19" s="119"/>
      <c r="B19" s="119"/>
      <c r="C19" s="119"/>
      <c r="D19" s="119"/>
      <c r="E19" s="119"/>
      <c r="F19" s="104" t="str">
        <f t="shared" si="0"/>
        <v>10.1</v>
      </c>
      <c r="G19" s="140"/>
      <c r="H19" s="424"/>
      <c r="I19" s="425"/>
      <c r="J19" s="425"/>
      <c r="K19" s="425"/>
      <c r="L19" s="425"/>
      <c r="M19" s="425"/>
      <c r="N19" s="426"/>
    </row>
    <row r="20" spans="1:14" x14ac:dyDescent="0.25">
      <c r="A20" s="16"/>
      <c r="B20" s="16"/>
      <c r="C20" s="100"/>
      <c r="D20" s="100"/>
      <c r="E20" s="100"/>
      <c r="F20" s="104" t="str">
        <f t="shared" si="0"/>
        <v>10.1</v>
      </c>
      <c r="G20" s="151" t="str">
        <f>"odd. C "&amp;F20</f>
        <v>odd. C 10.1</v>
      </c>
      <c r="H20" s="152" t="s">
        <v>19</v>
      </c>
      <c r="I20" s="153"/>
      <c r="J20" s="153"/>
      <c r="K20" s="154"/>
      <c r="L20" s="153"/>
      <c r="M20" s="154"/>
      <c r="N20" s="155"/>
    </row>
    <row r="21" spans="1:14" ht="15.75" thickBot="1" x14ac:dyDescent="0.3">
      <c r="A21" s="117"/>
      <c r="B21" s="117"/>
      <c r="C21" s="117"/>
      <c r="D21" s="117"/>
      <c r="E21" s="117"/>
      <c r="F21" s="104" t="str">
        <f t="shared" si="0"/>
        <v>10.1</v>
      </c>
      <c r="G21" s="156"/>
      <c r="H21" s="427"/>
      <c r="I21" s="428"/>
      <c r="J21" s="428"/>
      <c r="K21" s="428"/>
      <c r="L21" s="428"/>
      <c r="M21" s="428"/>
      <c r="N21" s="429"/>
    </row>
    <row r="22" spans="1:14" collapsed="1" x14ac:dyDescent="0.25">
      <c r="A22" s="72"/>
      <c r="B22" s="72"/>
      <c r="C22" s="96"/>
      <c r="D22" s="96"/>
      <c r="E22" s="96"/>
      <c r="F22" s="105">
        <v>2</v>
      </c>
      <c r="G22" s="13" t="s">
        <v>17</v>
      </c>
      <c r="H22" s="3" t="s">
        <v>270</v>
      </c>
      <c r="I22" s="7"/>
      <c r="J22" s="162" t="str">
        <f>$J$5</f>
        <v>současný stav</v>
      </c>
      <c r="K22" s="130" t="str">
        <f>$K$5</f>
        <v>současný stav</v>
      </c>
      <c r="L22" s="162" t="str">
        <f>$L$5</f>
        <v>plánovaný stav</v>
      </c>
      <c r="M22" s="86" t="str">
        <f>$M$5</f>
        <v>plánovaný stav</v>
      </c>
      <c r="N22" s="157" t="str">
        <f>$N$5</f>
        <v>pokrok</v>
      </c>
    </row>
    <row r="23" spans="1:14" x14ac:dyDescent="0.25">
      <c r="A23" s="73"/>
      <c r="B23" s="73"/>
      <c r="C23" s="97"/>
      <c r="D23" s="97"/>
      <c r="E23" s="97"/>
      <c r="F23" s="108" t="str">
        <f>G23</f>
        <v>10.2</v>
      </c>
      <c r="G23" s="70" t="str">
        <f>$G$2&amp;F22</f>
        <v>10.2</v>
      </c>
      <c r="H23" s="4" t="s">
        <v>271</v>
      </c>
      <c r="I23" s="12"/>
      <c r="J23" s="163" t="str">
        <f>$J$6</f>
        <v>výběr úrovně</v>
      </c>
      <c r="K23" s="131" t="str">
        <f>$K$6</f>
        <v>bodové hodnocení</v>
      </c>
      <c r="L23" s="163" t="str">
        <f>$L$6</f>
        <v>výběr úrovně</v>
      </c>
      <c r="M23" s="88" t="str">
        <f>$M$6</f>
        <v>bodové hodnocení</v>
      </c>
      <c r="N23" s="158" t="str">
        <f>$N$6</f>
        <v>bodové hodnocení</v>
      </c>
    </row>
    <row r="24" spans="1:14" ht="15.75" thickBot="1" x14ac:dyDescent="0.3">
      <c r="A24" s="74"/>
      <c r="B24" s="74"/>
      <c r="C24" s="101"/>
      <c r="D24" s="101"/>
      <c r="E24" s="101"/>
      <c r="F24" s="104" t="str">
        <f t="shared" ref="F24:F33" si="4">F23</f>
        <v>10.2</v>
      </c>
      <c r="G24" s="14"/>
      <c r="H24" s="15"/>
      <c r="I24" s="8"/>
      <c r="J24" s="164"/>
      <c r="K24" s="132" t="str">
        <f>$K$7</f>
        <v>B</v>
      </c>
      <c r="L24" s="164"/>
      <c r="M24" s="89"/>
      <c r="N24" s="159" t="str">
        <f>$N$7</f>
        <v>C</v>
      </c>
    </row>
    <row r="25" spans="1:14" x14ac:dyDescent="0.25">
      <c r="A25" s="69">
        <f>IF(G25="a.",0,IF(G25="b.",1,IF(G25="c.",2,IF(G25="d.",3,IF(G25="e.",4,IF(G25="f.",5,IF(G25="g.",6,IF(G25="h.",7,IF(G25="i.",8,IF(G25="j.",9,""))))))))))</f>
        <v>0</v>
      </c>
      <c r="B25" s="103">
        <f>MAX(A25:A30)</f>
        <v>4</v>
      </c>
      <c r="C25" s="98">
        <f>SUM(K25:K30)</f>
        <v>0.5</v>
      </c>
      <c r="D25" s="98">
        <f>SUM(M25:M30)</f>
        <v>1.5</v>
      </c>
      <c r="E25" s="98">
        <f>D25-C25</f>
        <v>1</v>
      </c>
      <c r="F25" s="104" t="str">
        <f t="shared" si="4"/>
        <v>10.2</v>
      </c>
      <c r="G25" s="9" t="s">
        <v>6</v>
      </c>
      <c r="H25" s="10" t="s">
        <v>140</v>
      </c>
      <c r="I25" s="79">
        <f>IF(A25&lt;&gt;"",A25/B25*2,"")</f>
        <v>0</v>
      </c>
      <c r="J25" s="218"/>
      <c r="K25" s="133" t="str">
        <f>IF(J25="","",I25)</f>
        <v/>
      </c>
      <c r="L25" s="218"/>
      <c r="M25" s="90" t="str">
        <f>IF(L25="","",I25)</f>
        <v/>
      </c>
      <c r="N25" s="160" t="str">
        <f>IF(AND(M25&lt;&gt;"",E25&gt;=0),E25,"")</f>
        <v/>
      </c>
    </row>
    <row r="26" spans="1:14" x14ac:dyDescent="0.25">
      <c r="A26" s="69">
        <f>IF(G26="a.",0,IF(G26="b.",1,IF(G26="c.",2,IF(G26="d.",3,IF(G26="e.",4,IF(G26="f.",5,IF(G26="g.",6,IF(G26="h.",7,IF(G26="i.",8,IF(G26="j.",9,""))))))))))</f>
        <v>1</v>
      </c>
      <c r="B26" s="99">
        <f t="shared" ref="B26:B29" si="5">B25</f>
        <v>4</v>
      </c>
      <c r="C26" s="93"/>
      <c r="D26" s="93"/>
      <c r="E26" s="99">
        <f>E25</f>
        <v>1</v>
      </c>
      <c r="F26" s="104" t="str">
        <f>F23</f>
        <v>10.2</v>
      </c>
      <c r="G26" s="2" t="s">
        <v>8</v>
      </c>
      <c r="H26" s="1" t="s">
        <v>272</v>
      </c>
      <c r="I26" s="79">
        <f>IF(A26&lt;&gt;"",A26/B26*2,"")</f>
        <v>0.5</v>
      </c>
      <c r="J26" s="219" t="s">
        <v>298</v>
      </c>
      <c r="K26" s="134">
        <f>IF(J26="","",I26)</f>
        <v>0.5</v>
      </c>
      <c r="L26" s="219"/>
      <c r="M26" s="91" t="str">
        <f>IF(L26="","",I26)</f>
        <v/>
      </c>
      <c r="N26" s="161" t="str">
        <f>IF(AND(M26&lt;&gt;"",E26&gt;=0),E26,"")</f>
        <v/>
      </c>
    </row>
    <row r="27" spans="1:14" x14ac:dyDescent="0.25">
      <c r="A27" s="69">
        <f>IF(G27="a.",0,IF(G27="b.",1,IF(G27="c.",2,IF(G27="d.",3,IF(G27="e.",4,IF(G27="f.",5,IF(G27="g.",6,IF(G27="h.",7,IF(G27="i.",8,IF(G27="j.",9,""))))))))))</f>
        <v>2</v>
      </c>
      <c r="B27" s="99">
        <f t="shared" si="5"/>
        <v>4</v>
      </c>
      <c r="C27" s="93"/>
      <c r="D27" s="93"/>
      <c r="E27" s="99">
        <f>E26</f>
        <v>1</v>
      </c>
      <c r="F27" s="104" t="str">
        <f t="shared" ref="F27" si="6">F26</f>
        <v>10.2</v>
      </c>
      <c r="G27" s="2" t="s">
        <v>10</v>
      </c>
      <c r="H27" s="1" t="s">
        <v>267</v>
      </c>
      <c r="I27" s="79">
        <f>IF(A27&lt;&gt;"",A27/B27*2,"")</f>
        <v>1</v>
      </c>
      <c r="J27" s="219"/>
      <c r="K27" s="134" t="str">
        <f>IF(J27="","",I27)</f>
        <v/>
      </c>
      <c r="L27" s="219"/>
      <c r="M27" s="91" t="str">
        <f>IF(L27="","",I27)</f>
        <v/>
      </c>
      <c r="N27" s="161" t="str">
        <f>IF(AND(M27&lt;&gt;"",E27&gt;=0),E27,"")</f>
        <v/>
      </c>
    </row>
    <row r="28" spans="1:14" x14ac:dyDescent="0.25">
      <c r="A28" s="69">
        <f>IF(G28="a.",0,IF(G28="b.",1,IF(G28="c.",2,IF(G28="d.",3,IF(G28="e.",4,IF(G28="f.",5,IF(G28="g.",6,IF(G28="h.",7,IF(G28="i.",8,IF(G28="j.",9,""))))))))))</f>
        <v>3</v>
      </c>
      <c r="B28" s="99">
        <f t="shared" si="5"/>
        <v>4</v>
      </c>
      <c r="C28" s="93"/>
      <c r="D28" s="93"/>
      <c r="E28" s="99">
        <f>E27</f>
        <v>1</v>
      </c>
      <c r="F28" s="104" t="str">
        <f>F25</f>
        <v>10.2</v>
      </c>
      <c r="G28" s="2" t="s">
        <v>68</v>
      </c>
      <c r="H28" s="1" t="s">
        <v>268</v>
      </c>
      <c r="I28" s="79">
        <f>IF(A28&lt;&gt;"",A28/B28*2,"")</f>
        <v>1.5</v>
      </c>
      <c r="J28" s="219"/>
      <c r="K28" s="134" t="str">
        <f>IF(J28="","",I28)</f>
        <v/>
      </c>
      <c r="L28" s="219" t="s">
        <v>298</v>
      </c>
      <c r="M28" s="91">
        <f>IF(L28="","",I28)</f>
        <v>1.5</v>
      </c>
      <c r="N28" s="161">
        <f>IF(AND(M28&lt;&gt;"",E28&gt;=0),E28,"")</f>
        <v>1</v>
      </c>
    </row>
    <row r="29" spans="1:14" x14ac:dyDescent="0.25">
      <c r="A29" s="69">
        <f>IF(G29="a.",0,IF(G29="b.",1,IF(G29="c.",2,IF(G29="d.",3,IF(G29="e.",4,IF(G29="f.",5,IF(G29="g.",6,IF(G29="h.",7,IF(G29="i.",8,IF(G29="j.",9,""))))))))))</f>
        <v>4</v>
      </c>
      <c r="B29" s="99">
        <f t="shared" si="5"/>
        <v>4</v>
      </c>
      <c r="C29" s="93"/>
      <c r="D29" s="93"/>
      <c r="E29" s="99">
        <f>E28</f>
        <v>1</v>
      </c>
      <c r="F29" s="104" t="str">
        <f t="shared" si="4"/>
        <v>10.2</v>
      </c>
      <c r="G29" s="2" t="s">
        <v>92</v>
      </c>
      <c r="H29" s="1" t="s">
        <v>269</v>
      </c>
      <c r="I29" s="79">
        <f>IF(A29&lt;&gt;"",A29/B29*2,"")</f>
        <v>2</v>
      </c>
      <c r="J29" s="219"/>
      <c r="K29" s="134" t="str">
        <f>IF(J29="","",I29)</f>
        <v/>
      </c>
      <c r="L29" s="219"/>
      <c r="M29" s="91" t="str">
        <f>IF(L29="","",I29)</f>
        <v/>
      </c>
      <c r="N29" s="161" t="str">
        <f>IF(AND(M29&lt;&gt;"",E29&gt;=0),E29,"")</f>
        <v/>
      </c>
    </row>
    <row r="30" spans="1:14" x14ac:dyDescent="0.25">
      <c r="A30" s="115"/>
      <c r="B30" s="115"/>
      <c r="C30" s="116"/>
      <c r="D30" s="116"/>
      <c r="E30" s="116"/>
      <c r="F30" s="104" t="str">
        <f t="shared" si="4"/>
        <v>10.2</v>
      </c>
      <c r="G30" s="135" t="str">
        <f>"odd. B "&amp;F30</f>
        <v>odd. B 10.2</v>
      </c>
      <c r="H30" s="136" t="s">
        <v>18</v>
      </c>
      <c r="I30" s="137"/>
      <c r="J30" s="137"/>
      <c r="K30" s="138"/>
      <c r="L30" s="137"/>
      <c r="M30" s="138"/>
      <c r="N30" s="139"/>
    </row>
    <row r="31" spans="1:14" x14ac:dyDescent="0.25">
      <c r="A31" s="119"/>
      <c r="B31" s="119"/>
      <c r="C31" s="119"/>
      <c r="D31" s="119"/>
      <c r="E31" s="119"/>
      <c r="F31" s="104" t="str">
        <f t="shared" si="4"/>
        <v>10.2</v>
      </c>
      <c r="G31" s="140"/>
      <c r="H31" s="424"/>
      <c r="I31" s="425"/>
      <c r="J31" s="425"/>
      <c r="K31" s="425"/>
      <c r="L31" s="425"/>
      <c r="M31" s="425"/>
      <c r="N31" s="426"/>
    </row>
    <row r="32" spans="1:14" x14ac:dyDescent="0.25">
      <c r="A32" s="16"/>
      <c r="B32" s="16"/>
      <c r="C32" s="100"/>
      <c r="D32" s="100"/>
      <c r="E32" s="100"/>
      <c r="F32" s="104" t="str">
        <f t="shared" si="4"/>
        <v>10.2</v>
      </c>
      <c r="G32" s="151" t="str">
        <f>"odd. C "&amp;F32</f>
        <v>odd. C 10.2</v>
      </c>
      <c r="H32" s="152" t="s">
        <v>19</v>
      </c>
      <c r="I32" s="153"/>
      <c r="J32" s="153"/>
      <c r="K32" s="154"/>
      <c r="L32" s="153"/>
      <c r="M32" s="154"/>
      <c r="N32" s="155"/>
    </row>
    <row r="33" spans="1:14" ht="15.75" thickBot="1" x14ac:dyDescent="0.3">
      <c r="A33" s="117"/>
      <c r="B33" s="117"/>
      <c r="C33" s="117"/>
      <c r="D33" s="117"/>
      <c r="E33" s="117"/>
      <c r="F33" s="104" t="str">
        <f t="shared" si="4"/>
        <v>10.2</v>
      </c>
      <c r="G33" s="156"/>
      <c r="H33" s="427"/>
      <c r="I33" s="428"/>
      <c r="J33" s="428"/>
      <c r="K33" s="428"/>
      <c r="L33" s="428"/>
      <c r="M33" s="428"/>
      <c r="N33" s="429"/>
    </row>
    <row r="34" spans="1:14" collapsed="1" x14ac:dyDescent="0.25">
      <c r="A34" s="72"/>
      <c r="B34" s="72"/>
      <c r="C34" s="96"/>
      <c r="D34" s="96"/>
      <c r="E34" s="96"/>
      <c r="F34" s="105">
        <v>3</v>
      </c>
      <c r="G34" s="13" t="s">
        <v>17</v>
      </c>
      <c r="H34" s="3" t="s">
        <v>273</v>
      </c>
      <c r="I34" s="7"/>
      <c r="J34" s="162" t="str">
        <f>$J$5</f>
        <v>současný stav</v>
      </c>
      <c r="K34" s="130" t="str">
        <f>$K$5</f>
        <v>současný stav</v>
      </c>
      <c r="L34" s="162" t="str">
        <f>$L$5</f>
        <v>plánovaný stav</v>
      </c>
      <c r="M34" s="86" t="str">
        <f>$M$5</f>
        <v>plánovaný stav</v>
      </c>
      <c r="N34" s="157" t="str">
        <f>$N$5</f>
        <v>pokrok</v>
      </c>
    </row>
    <row r="35" spans="1:14" x14ac:dyDescent="0.25">
      <c r="A35" s="73"/>
      <c r="B35" s="73"/>
      <c r="C35" s="97"/>
      <c r="D35" s="97"/>
      <c r="E35" s="97"/>
      <c r="F35" s="108" t="str">
        <f>G35</f>
        <v>10.3</v>
      </c>
      <c r="G35" s="70" t="str">
        <f>$G$2&amp;F34</f>
        <v>10.3</v>
      </c>
      <c r="H35" s="4" t="s">
        <v>274</v>
      </c>
      <c r="I35" s="12"/>
      <c r="J35" s="163" t="str">
        <f>$J$6</f>
        <v>výběr úrovně</v>
      </c>
      <c r="K35" s="131" t="str">
        <f>$K$6</f>
        <v>bodové hodnocení</v>
      </c>
      <c r="L35" s="163" t="str">
        <f>$L$6</f>
        <v>výběr úrovně</v>
      </c>
      <c r="M35" s="88" t="str">
        <f>$M$6</f>
        <v>bodové hodnocení</v>
      </c>
      <c r="N35" s="158" t="str">
        <f>$N$6</f>
        <v>bodové hodnocení</v>
      </c>
    </row>
    <row r="36" spans="1:14" ht="15.75" thickBot="1" x14ac:dyDescent="0.3">
      <c r="A36" s="74"/>
      <c r="B36" s="74"/>
      <c r="C36" s="101"/>
      <c r="D36" s="101"/>
      <c r="E36" s="101"/>
      <c r="F36" s="104" t="str">
        <f t="shared" ref="F36:F44" si="7">F35</f>
        <v>10.3</v>
      </c>
      <c r="G36" s="14"/>
      <c r="H36" s="15"/>
      <c r="I36" s="8"/>
      <c r="J36" s="164"/>
      <c r="K36" s="132" t="str">
        <f>$K$7</f>
        <v>B</v>
      </c>
      <c r="L36" s="164"/>
      <c r="M36" s="89"/>
      <c r="N36" s="159" t="str">
        <f>$N$7</f>
        <v>C</v>
      </c>
    </row>
    <row r="37" spans="1:14" x14ac:dyDescent="0.25">
      <c r="A37" s="69">
        <f>IF(G37="a.",0,IF(G37="b.",1,IF(G37="c.",2,IF(G37="d.",3,IF(G37="e.",4,IF(G37="f.",5,IF(G37="g.",6,IF(G37="h.",7,IF(G37="i.",8,IF(G37="j.",9,""))))))))))</f>
        <v>0</v>
      </c>
      <c r="B37" s="103">
        <f>MAX(A37:A41)</f>
        <v>3</v>
      </c>
      <c r="C37" s="98">
        <f>SUM(K37:K41)</f>
        <v>0.66666666666666663</v>
      </c>
      <c r="D37" s="98">
        <f>SUM(M37:M41)</f>
        <v>0.66666666666666663</v>
      </c>
      <c r="E37" s="98">
        <f>D37-C37</f>
        <v>0</v>
      </c>
      <c r="F37" s="104" t="str">
        <f t="shared" si="7"/>
        <v>10.3</v>
      </c>
      <c r="G37" s="2" t="s">
        <v>6</v>
      </c>
      <c r="H37" s="1" t="s">
        <v>275</v>
      </c>
      <c r="I37" s="79">
        <f>IF(A37&lt;&gt;"",A37/B37*2,"")</f>
        <v>0</v>
      </c>
      <c r="J37" s="218"/>
      <c r="K37" s="133" t="str">
        <f>IF(J37="","",I37)</f>
        <v/>
      </c>
      <c r="L37" s="218"/>
      <c r="M37" s="90" t="str">
        <f>IF(L37="","",I37)</f>
        <v/>
      </c>
      <c r="N37" s="160" t="str">
        <f>IF(AND(M37&lt;&gt;"",E37&gt;=0),E37,"")</f>
        <v/>
      </c>
    </row>
    <row r="38" spans="1:14" x14ac:dyDescent="0.25">
      <c r="A38" s="69">
        <f>IF(G38="a.",0,IF(G38="b.",1,IF(G38="c.",2,IF(G38="d.",3,IF(G38="e.",4,IF(G38="f.",5,IF(G38="g.",6,IF(G38="h.",7,IF(G38="i.",8,IF(G38="j.",9,""))))))))))</f>
        <v>1</v>
      </c>
      <c r="B38" s="99">
        <f t="shared" ref="B38" si="8">B37</f>
        <v>3</v>
      </c>
      <c r="C38" s="93"/>
      <c r="D38" s="93"/>
      <c r="E38" s="99">
        <f>E37</f>
        <v>0</v>
      </c>
      <c r="F38" s="104" t="str">
        <f t="shared" si="7"/>
        <v>10.3</v>
      </c>
      <c r="G38" s="2" t="s">
        <v>8</v>
      </c>
      <c r="H38" s="1" t="s">
        <v>276</v>
      </c>
      <c r="I38" s="79">
        <f>IF(A38&lt;&gt;"",A38/B38*2,"")</f>
        <v>0.66666666666666663</v>
      </c>
      <c r="J38" s="219" t="s">
        <v>298</v>
      </c>
      <c r="K38" s="134">
        <f>IF(J38="","",I38)</f>
        <v>0.66666666666666663</v>
      </c>
      <c r="L38" s="219" t="s">
        <v>298</v>
      </c>
      <c r="M38" s="91">
        <f>IF(L38="","",I38)</f>
        <v>0.66666666666666663</v>
      </c>
      <c r="N38" s="161">
        <f>IF(AND(M38&lt;&gt;"",E38&gt;=0),E38,"")</f>
        <v>0</v>
      </c>
    </row>
    <row r="39" spans="1:14" x14ac:dyDescent="0.25">
      <c r="A39" s="69">
        <f>IF(G39="a.",0,IF(G39="b.",1,IF(G39="c.",2,IF(G39="d.",3,IF(G39="e.",4,IF(G39="f.",5,IF(G39="g.",6,IF(G39="h.",7,IF(G39="i.",8,IF(G39="j.",9,""))))))))))</f>
        <v>2</v>
      </c>
      <c r="B39" s="99">
        <f>B37</f>
        <v>3</v>
      </c>
      <c r="C39" s="93"/>
      <c r="D39" s="93"/>
      <c r="E39" s="99">
        <f>E37</f>
        <v>0</v>
      </c>
      <c r="F39" s="104" t="str">
        <f>F37</f>
        <v>10.3</v>
      </c>
      <c r="G39" s="2" t="s">
        <v>10</v>
      </c>
      <c r="H39" s="1" t="s">
        <v>277</v>
      </c>
      <c r="I39" s="79">
        <f>IF(A39&lt;&gt;"",A39/B39*2,"")</f>
        <v>1.3333333333333333</v>
      </c>
      <c r="J39" s="219"/>
      <c r="K39" s="134" t="str">
        <f>IF(J39="","",I39)</f>
        <v/>
      </c>
      <c r="L39" s="219"/>
      <c r="M39" s="91" t="str">
        <f>IF(L39="","",I39)</f>
        <v/>
      </c>
      <c r="N39" s="161" t="str">
        <f>IF(AND(M39&lt;&gt;"",E39&gt;=0),E39,"")</f>
        <v/>
      </c>
    </row>
    <row r="40" spans="1:14" x14ac:dyDescent="0.25">
      <c r="A40" s="69">
        <f>IF(G40="a.",0,IF(G40="b.",1,IF(G40="c.",2,IF(G40="d.",3,IF(G40="e.",4,IF(G40="f.",5,IF(G40="g.",6,IF(G40="h.",7,IF(G40="i.",8,IF(G40="j.",9,""))))))))))</f>
        <v>3</v>
      </c>
      <c r="B40" s="99">
        <f>B38</f>
        <v>3</v>
      </c>
      <c r="C40" s="93"/>
      <c r="D40" s="93"/>
      <c r="E40" s="99">
        <f>E38</f>
        <v>0</v>
      </c>
      <c r="F40" s="104" t="str">
        <f>F38</f>
        <v>10.3</v>
      </c>
      <c r="G40" s="2" t="s">
        <v>68</v>
      </c>
      <c r="H40" s="1" t="s">
        <v>278</v>
      </c>
      <c r="I40" s="79">
        <f>IF(A40&lt;&gt;"",A40/B40*2,"")</f>
        <v>2</v>
      </c>
      <c r="J40" s="219"/>
      <c r="K40" s="134" t="str">
        <f>IF(J40="","",I40)</f>
        <v/>
      </c>
      <c r="L40" s="219"/>
      <c r="M40" s="91" t="str">
        <f>IF(L40="","",I40)</f>
        <v/>
      </c>
      <c r="N40" s="161" t="str">
        <f>IF(AND(M40&lt;&gt;"",E40&gt;=0),E40,"")</f>
        <v/>
      </c>
    </row>
    <row r="41" spans="1:14" x14ac:dyDescent="0.25">
      <c r="A41" s="115"/>
      <c r="B41" s="115"/>
      <c r="C41" s="116"/>
      <c r="D41" s="116"/>
      <c r="E41" s="116"/>
      <c r="F41" s="104" t="str">
        <f t="shared" si="7"/>
        <v>10.3</v>
      </c>
      <c r="G41" s="135" t="str">
        <f>"odd. B "&amp;F41</f>
        <v>odd. B 10.3</v>
      </c>
      <c r="H41" s="136" t="s">
        <v>18</v>
      </c>
      <c r="I41" s="137"/>
      <c r="J41" s="137"/>
      <c r="K41" s="138"/>
      <c r="L41" s="137"/>
      <c r="M41" s="138"/>
      <c r="N41" s="139"/>
    </row>
    <row r="42" spans="1:14" x14ac:dyDescent="0.25">
      <c r="A42" s="119"/>
      <c r="B42" s="119"/>
      <c r="C42" s="119"/>
      <c r="D42" s="119"/>
      <c r="E42" s="119"/>
      <c r="F42" s="104" t="str">
        <f t="shared" si="7"/>
        <v>10.3</v>
      </c>
      <c r="G42" s="140"/>
      <c r="H42" s="424"/>
      <c r="I42" s="425"/>
      <c r="J42" s="425"/>
      <c r="K42" s="425"/>
      <c r="L42" s="425"/>
      <c r="M42" s="425"/>
      <c r="N42" s="426"/>
    </row>
    <row r="43" spans="1:14" x14ac:dyDescent="0.25">
      <c r="A43" s="16"/>
      <c r="B43" s="16"/>
      <c r="C43" s="100"/>
      <c r="D43" s="100"/>
      <c r="E43" s="100"/>
      <c r="F43" s="104" t="str">
        <f t="shared" si="7"/>
        <v>10.3</v>
      </c>
      <c r="G43" s="151" t="str">
        <f>"odd. C "&amp;F43</f>
        <v>odd. C 10.3</v>
      </c>
      <c r="H43" s="152" t="s">
        <v>19</v>
      </c>
      <c r="I43" s="153"/>
      <c r="J43" s="153"/>
      <c r="K43" s="154"/>
      <c r="L43" s="153"/>
      <c r="M43" s="154"/>
      <c r="N43" s="155"/>
    </row>
    <row r="44" spans="1:14" ht="15.75" thickBot="1" x14ac:dyDescent="0.3">
      <c r="A44" s="117"/>
      <c r="B44" s="117"/>
      <c r="C44" s="117"/>
      <c r="D44" s="117"/>
      <c r="E44" s="117"/>
      <c r="F44" s="104" t="str">
        <f t="shared" si="7"/>
        <v>10.3</v>
      </c>
      <c r="G44" s="156"/>
      <c r="H44" s="427"/>
      <c r="I44" s="428"/>
      <c r="J44" s="428"/>
      <c r="K44" s="428"/>
      <c r="L44" s="428"/>
      <c r="M44" s="428"/>
      <c r="N44" s="429"/>
    </row>
    <row r="45" spans="1:14" collapsed="1" x14ac:dyDescent="0.25">
      <c r="A45" s="72"/>
      <c r="B45" s="72"/>
      <c r="C45" s="96"/>
      <c r="D45" s="96"/>
      <c r="E45" s="96"/>
      <c r="F45" s="105">
        <v>4</v>
      </c>
      <c r="G45" s="13" t="s">
        <v>17</v>
      </c>
      <c r="H45" s="3" t="s">
        <v>273</v>
      </c>
      <c r="I45" s="7"/>
      <c r="J45" s="162" t="str">
        <f>$J$5</f>
        <v>současný stav</v>
      </c>
      <c r="K45" s="130" t="str">
        <f>$K$5</f>
        <v>současný stav</v>
      </c>
      <c r="L45" s="162" t="str">
        <f>$L$5</f>
        <v>plánovaný stav</v>
      </c>
      <c r="M45" s="86" t="str">
        <f>$M$5</f>
        <v>plánovaný stav</v>
      </c>
      <c r="N45" s="157" t="str">
        <f>$N$5</f>
        <v>pokrok</v>
      </c>
    </row>
    <row r="46" spans="1:14" x14ac:dyDescent="0.25">
      <c r="A46" s="73"/>
      <c r="B46" s="73"/>
      <c r="C46" s="97"/>
      <c r="D46" s="97"/>
      <c r="E46" s="97"/>
      <c r="F46" s="108" t="str">
        <f>G46</f>
        <v>10.4</v>
      </c>
      <c r="G46" s="70" t="str">
        <f>$G$2&amp;F45</f>
        <v>10.4</v>
      </c>
      <c r="H46" s="4" t="s">
        <v>279</v>
      </c>
      <c r="I46" s="12"/>
      <c r="J46" s="163" t="str">
        <f>$J$6</f>
        <v>výběr úrovně</v>
      </c>
      <c r="K46" s="131" t="str">
        <f>$K$6</f>
        <v>bodové hodnocení</v>
      </c>
      <c r="L46" s="163" t="str">
        <f>$L$6</f>
        <v>výběr úrovně</v>
      </c>
      <c r="M46" s="88" t="str">
        <f>$M$6</f>
        <v>bodové hodnocení</v>
      </c>
      <c r="N46" s="158" t="str">
        <f>$N$6</f>
        <v>bodové hodnocení</v>
      </c>
    </row>
    <row r="47" spans="1:14" ht="15.75" thickBot="1" x14ac:dyDescent="0.3">
      <c r="A47" s="74"/>
      <c r="B47" s="74"/>
      <c r="C47" s="101"/>
      <c r="D47" s="101"/>
      <c r="E47" s="101"/>
      <c r="F47" s="104" t="str">
        <f t="shared" ref="F47:F54" si="9">F46</f>
        <v>10.4</v>
      </c>
      <c r="G47" s="14"/>
      <c r="H47" s="15"/>
      <c r="I47" s="8"/>
      <c r="J47" s="164"/>
      <c r="K47" s="132" t="str">
        <f>$K$7</f>
        <v>B</v>
      </c>
      <c r="L47" s="164"/>
      <c r="M47" s="89"/>
      <c r="N47" s="159" t="str">
        <f>$N$7</f>
        <v>C</v>
      </c>
    </row>
    <row r="48" spans="1:14" x14ac:dyDescent="0.25">
      <c r="A48" s="69">
        <f>IF(G48="a.",0,IF(G48="b.",1,IF(G48="c.",2,IF(G48="d.",3,IF(G48="e.",4,IF(G48="f.",5,IF(G48="g.",6,IF(G48="h.",7,IF(G48="i.",8,IF(G48="j.",9,""))))))))))</f>
        <v>0</v>
      </c>
      <c r="B48" s="103">
        <f>MAX(A48:A51)</f>
        <v>2</v>
      </c>
      <c r="C48" s="98">
        <f>SUM(K48:K51)</f>
        <v>1</v>
      </c>
      <c r="D48" s="98">
        <f>SUM(M48:M51)</f>
        <v>1</v>
      </c>
      <c r="E48" s="98">
        <f>D48-C48</f>
        <v>0</v>
      </c>
      <c r="F48" s="104" t="str">
        <f t="shared" si="9"/>
        <v>10.4</v>
      </c>
      <c r="G48" s="2" t="s">
        <v>6</v>
      </c>
      <c r="H48" s="1" t="s">
        <v>280</v>
      </c>
      <c r="I48" s="79">
        <f>IF(A48&lt;&gt;"",A48/B48*2,"")</f>
        <v>0</v>
      </c>
      <c r="J48" s="218"/>
      <c r="K48" s="133" t="str">
        <f>IF(J48="","",I48)</f>
        <v/>
      </c>
      <c r="L48" s="218"/>
      <c r="M48" s="90" t="str">
        <f>IF(L48="","",I48)</f>
        <v/>
      </c>
      <c r="N48" s="160" t="str">
        <f>IF(AND(M48&lt;&gt;"",E48&gt;=0),E48,"")</f>
        <v/>
      </c>
    </row>
    <row r="49" spans="1:14" x14ac:dyDescent="0.25">
      <c r="A49" s="69">
        <f>IF(G49="a.",0,IF(G49="b.",1,IF(G49="c.",2,IF(G49="d.",3,IF(G49="e.",4,IF(G49="f.",5,IF(G49="g.",6,IF(G49="h.",7,IF(G49="i.",8,IF(G49="j.",9,""))))))))))</f>
        <v>1</v>
      </c>
      <c r="B49" s="99">
        <f t="shared" ref="B49:B50" si="10">B48</f>
        <v>2</v>
      </c>
      <c r="C49" s="93"/>
      <c r="D49" s="93"/>
      <c r="E49" s="99">
        <f>E48</f>
        <v>0</v>
      </c>
      <c r="F49" s="104" t="str">
        <f t="shared" si="9"/>
        <v>10.4</v>
      </c>
      <c r="G49" s="2" t="s">
        <v>8</v>
      </c>
      <c r="H49" s="1" t="s">
        <v>247</v>
      </c>
      <c r="I49" s="79">
        <f>IF(A49&lt;&gt;"",A49/B49*2,"")</f>
        <v>1</v>
      </c>
      <c r="J49" s="219" t="s">
        <v>298</v>
      </c>
      <c r="K49" s="134">
        <f>IF(J49="","",I49)</f>
        <v>1</v>
      </c>
      <c r="L49" s="219" t="s">
        <v>298</v>
      </c>
      <c r="M49" s="91">
        <f>IF(L49="","",I49)</f>
        <v>1</v>
      </c>
      <c r="N49" s="161">
        <f>IF(AND(M49&lt;&gt;"",E49&gt;=0),E49,"")</f>
        <v>0</v>
      </c>
    </row>
    <row r="50" spans="1:14" x14ac:dyDescent="0.25">
      <c r="A50" s="69">
        <f>IF(G50="a.",0,IF(G50="b.",1,IF(G50="c.",2,IF(G50="d.",3,IF(G50="e.",4,IF(G50="f.",5,IF(G50="g.",6,IF(G50="h.",7,IF(G50="i.",8,IF(G50="j.",9,""))))))))))</f>
        <v>2</v>
      </c>
      <c r="B50" s="99">
        <f t="shared" si="10"/>
        <v>2</v>
      </c>
      <c r="C50" s="93"/>
      <c r="D50" s="93"/>
      <c r="E50" s="99">
        <f>E49</f>
        <v>0</v>
      </c>
      <c r="F50" s="104" t="str">
        <f t="shared" si="9"/>
        <v>10.4</v>
      </c>
      <c r="G50" s="2" t="s">
        <v>10</v>
      </c>
      <c r="H50" s="1" t="s">
        <v>281</v>
      </c>
      <c r="I50" s="79">
        <f>IF(A50&lt;&gt;"",A50/B50*2,"")</f>
        <v>2</v>
      </c>
      <c r="J50" s="219"/>
      <c r="K50" s="134" t="str">
        <f>IF(J50="","",I50)</f>
        <v/>
      </c>
      <c r="L50" s="219"/>
      <c r="M50" s="91" t="str">
        <f>IF(L50="","",I50)</f>
        <v/>
      </c>
      <c r="N50" s="161" t="str">
        <f>IF(AND(M50&lt;&gt;"",E50&gt;=0),E50,"")</f>
        <v/>
      </c>
    </row>
    <row r="51" spans="1:14" x14ac:dyDescent="0.25">
      <c r="A51" s="115"/>
      <c r="B51" s="115"/>
      <c r="C51" s="116"/>
      <c r="D51" s="116"/>
      <c r="E51" s="116"/>
      <c r="F51" s="104" t="str">
        <f t="shared" si="9"/>
        <v>10.4</v>
      </c>
      <c r="G51" s="135" t="str">
        <f>"odd. B "&amp;F51</f>
        <v>odd. B 10.4</v>
      </c>
      <c r="H51" s="136" t="s">
        <v>18</v>
      </c>
      <c r="I51" s="137"/>
      <c r="J51" s="137"/>
      <c r="K51" s="138"/>
      <c r="L51" s="137"/>
      <c r="M51" s="138"/>
      <c r="N51" s="139"/>
    </row>
    <row r="52" spans="1:14" x14ac:dyDescent="0.25">
      <c r="A52" s="119"/>
      <c r="B52" s="119"/>
      <c r="C52" s="119"/>
      <c r="D52" s="119"/>
      <c r="E52" s="119"/>
      <c r="F52" s="104" t="str">
        <f t="shared" si="9"/>
        <v>10.4</v>
      </c>
      <c r="G52" s="140"/>
      <c r="H52" s="424"/>
      <c r="I52" s="425"/>
      <c r="J52" s="425"/>
      <c r="K52" s="425"/>
      <c r="L52" s="425"/>
      <c r="M52" s="425"/>
      <c r="N52" s="426"/>
    </row>
    <row r="53" spans="1:14" x14ac:dyDescent="0.25">
      <c r="A53" s="16"/>
      <c r="B53" s="16"/>
      <c r="C53" s="100"/>
      <c r="D53" s="100"/>
      <c r="E53" s="100"/>
      <c r="F53" s="104" t="str">
        <f t="shared" si="9"/>
        <v>10.4</v>
      </c>
      <c r="G53" s="151" t="str">
        <f>"odd. C "&amp;F53</f>
        <v>odd. C 10.4</v>
      </c>
      <c r="H53" s="152" t="s">
        <v>19</v>
      </c>
      <c r="I53" s="153"/>
      <c r="J53" s="153"/>
      <c r="K53" s="154"/>
      <c r="L53" s="153"/>
      <c r="M53" s="154"/>
      <c r="N53" s="155"/>
    </row>
    <row r="54" spans="1:14" ht="15.75" thickBot="1" x14ac:dyDescent="0.3">
      <c r="A54" s="117"/>
      <c r="B54" s="117"/>
      <c r="C54" s="117"/>
      <c r="D54" s="117"/>
      <c r="E54" s="117"/>
      <c r="F54" s="104" t="str">
        <f t="shared" si="9"/>
        <v>10.4</v>
      </c>
      <c r="G54" s="156"/>
      <c r="H54" s="427"/>
      <c r="I54" s="428"/>
      <c r="J54" s="428"/>
      <c r="K54" s="428"/>
      <c r="L54" s="428"/>
      <c r="M54" s="428"/>
      <c r="N54" s="429"/>
    </row>
  </sheetData>
  <sheetProtection algorithmName="SHA-512" hashValue="d0XDRUqnUe/WX/qTfY6k+470Edy8oqsq7XaqAK3wssZbGQgFUJnHPxhpmhHzdcZlHgsa3/6NDCLJpA+WBKeJcw==" saltValue="a7A1Aw1SfunKaBjO55fePA==" spinCount="100000" sheet="1" objects="1" scenarios="1" formatCells="0"/>
  <mergeCells count="11">
    <mergeCell ref="J2:N2"/>
    <mergeCell ref="J9:N9"/>
    <mergeCell ref="G1:N1"/>
    <mergeCell ref="H19:N19"/>
    <mergeCell ref="H21:N21"/>
    <mergeCell ref="H54:N54"/>
    <mergeCell ref="H31:N31"/>
    <mergeCell ref="H33:N33"/>
    <mergeCell ref="H42:N42"/>
    <mergeCell ref="H44:N44"/>
    <mergeCell ref="H52:N52"/>
  </mergeCells>
  <conditionalFormatting sqref="I3">
    <cfRule type="expression" dxfId="18" priority="17">
      <formula>$J$8&lt;&gt;COUNTIF(I9:I111,2)</formula>
    </cfRule>
  </conditionalFormatting>
  <conditionalFormatting sqref="I4">
    <cfRule type="expression" dxfId="17" priority="18">
      <formula>$L$8&lt;&gt;COUNTIF(I9:I111,2)</formula>
    </cfRule>
  </conditionalFormatting>
  <conditionalFormatting sqref="G3">
    <cfRule type="expression" dxfId="16" priority="15">
      <formula>$J$8&lt;&gt;COUNTIF(I9:I111,2)</formula>
    </cfRule>
  </conditionalFormatting>
  <conditionalFormatting sqref="J3">
    <cfRule type="expression" dxfId="15" priority="14">
      <formula>$J$8&lt;&gt;COUNTIF(I9:I111,2)</formula>
    </cfRule>
  </conditionalFormatting>
  <conditionalFormatting sqref="K3">
    <cfRule type="expression" dxfId="14" priority="13">
      <formula>$J$8&lt;&gt;COUNTIF(I9:I111,2)</formula>
    </cfRule>
  </conditionalFormatting>
  <conditionalFormatting sqref="L3">
    <cfRule type="expression" dxfId="13" priority="12">
      <formula>$J$8&lt;&gt;COUNTIF(I9:I111,2)</formula>
    </cfRule>
  </conditionalFormatting>
  <conditionalFormatting sqref="M3">
    <cfRule type="expression" dxfId="12" priority="11">
      <formula>$J$8&lt;&gt;COUNTIF(I9:I111,2)</formula>
    </cfRule>
  </conditionalFormatting>
  <conditionalFormatting sqref="N3">
    <cfRule type="expression" dxfId="11" priority="10">
      <formula>$J$8&lt;&gt;COUNTIF(I9:I111,2)</formula>
    </cfRule>
  </conditionalFormatting>
  <conditionalFormatting sqref="G4">
    <cfRule type="expression" dxfId="10" priority="8">
      <formula>$L$8&lt;&gt;COUNTIF(I9:I111,2)</formula>
    </cfRule>
  </conditionalFormatting>
  <conditionalFormatting sqref="J4">
    <cfRule type="expression" dxfId="9" priority="7">
      <formula>$L$8&lt;&gt;COUNTIF(I9:I111,2)</formula>
    </cfRule>
  </conditionalFormatting>
  <conditionalFormatting sqref="K4">
    <cfRule type="expression" dxfId="8" priority="6">
      <formula>$L$8&lt;&gt;COUNTIF(I9:I111,2)</formula>
    </cfRule>
  </conditionalFormatting>
  <conditionalFormatting sqref="L4">
    <cfRule type="expression" dxfId="7" priority="5">
      <formula>$L$8&lt;&gt;COUNTIF(I9:I111,2)</formula>
    </cfRule>
  </conditionalFormatting>
  <conditionalFormatting sqref="M4">
    <cfRule type="expression" dxfId="6" priority="4">
      <formula>$L$8&lt;&gt;COUNTIF(I9:I111,2)</formula>
    </cfRule>
  </conditionalFormatting>
  <conditionalFormatting sqref="N4">
    <cfRule type="expression" dxfId="5" priority="3">
      <formula>$L$8&lt;&gt;COUNTIF(I9:I111,2)</formula>
    </cfRule>
  </conditionalFormatting>
  <conditionalFormatting sqref="H3">
    <cfRule type="expression" dxfId="4" priority="2">
      <formula>$J$8&lt;&gt;COUNTIF(I9:I111,2)</formula>
    </cfRule>
  </conditionalFormatting>
  <conditionalFormatting sqref="H4">
    <cfRule type="expression" dxfId="3" priority="1">
      <formula>$L$8&lt;&gt;COUNTIF(I9:I111,2)</formula>
    </cfRule>
  </conditionalFormatting>
  <pageMargins left="0.70866141732283472" right="0.70866141732283472" top="0.51" bottom="1.32" header="0.31496062992125984" footer="0.31496062992125984"/>
  <pageSetup paperSize="9" scale="5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algorithmName="SHA-512" hashValue="SycgKjdqK8MRjGiekLvck9bc8BK5/5tgwHThVz4aTJJvG6wt5t5LIWeF2Xwl6XdrroDaKrXSnbC8ffVT8CCyCQ==" saltValue="O7RxxR1SxEI94yZ7+vcE5w==" spinCount="100000" sheet="1" objects="1" scenarios="1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"/>
  <sheetViews>
    <sheetView workbookViewId="0"/>
  </sheetViews>
  <sheetFormatPr defaultColWidth="8.85546875" defaultRowHeight="15" x14ac:dyDescent="0.25"/>
  <cols>
    <col min="1" max="16384" width="8.85546875" style="216"/>
  </cols>
  <sheetData>
    <row r="1" spans="1:1" x14ac:dyDescent="0.25">
      <c r="A1" s="35" t="s">
        <v>282</v>
      </c>
    </row>
  </sheetData>
  <sheetProtection algorithmName="SHA-512" hashValue="+n19EXsTtT1vqoS8yp8o7K6M8gEVnNXtyuZY2Vn2OrQGu9Kz+GbBf1vZdugYIF0gajgm1sKGdQbvNaUAGVdnpg==" saltValue="qIszgq7iVNWrmyS9A43nBg==" spinCount="100000" sheet="1" objects="1" scenarios="1"/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algorithmName="SHA-512" hashValue="Fc0IO1NAy+SZvR0w2ln/yNoH0t6evzj6klBWvF43WrDDKaCdqemtfeqDmlnDRTYPxaLBMrEgTcCVHcdYbFsYvA==" saltValue="WRaV9SxpfXf3cNflHO4b+A==" spinCount="100000" sheet="1" objects="1" scenarios="1"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zoomScaleNormal="100" workbookViewId="0">
      <pane xSplit="1" ySplit="10" topLeftCell="B11" activePane="bottomRight" state="frozen"/>
      <selection sqref="A1:XFD1048576"/>
      <selection pane="topRight" sqref="A1:XFD1048576"/>
      <selection pane="bottomLeft" sqref="A1:XFD1048576"/>
      <selection pane="bottomRight" activeCell="B11" sqref="B11"/>
    </sheetView>
  </sheetViews>
  <sheetFormatPr defaultColWidth="9.42578125" defaultRowHeight="12" outlineLevelCol="1" x14ac:dyDescent="0.2"/>
  <cols>
    <col min="1" max="1" width="3.5703125" style="40" customWidth="1"/>
    <col min="2" max="2" width="3.5703125" style="40" customWidth="1" outlineLevel="1"/>
    <col min="3" max="3" width="3.5703125" style="40" customWidth="1"/>
    <col min="4" max="4" width="90.7109375" style="40" customWidth="1"/>
    <col min="5" max="7" width="15.7109375" style="67" customWidth="1"/>
    <col min="8" max="8" width="15.7109375" style="68" customWidth="1"/>
    <col min="9" max="16384" width="9.42578125" style="40"/>
  </cols>
  <sheetData>
    <row r="1" spans="1:8" ht="18.75" customHeight="1" x14ac:dyDescent="0.2">
      <c r="A1" s="440" t="s">
        <v>41</v>
      </c>
      <c r="B1" s="443" t="s">
        <v>42</v>
      </c>
      <c r="C1" s="446">
        <v>0</v>
      </c>
      <c r="D1" s="449" t="s">
        <v>43</v>
      </c>
      <c r="E1" s="39" t="s">
        <v>44</v>
      </c>
      <c r="F1" s="39" t="s">
        <v>45</v>
      </c>
      <c r="G1" s="39" t="s">
        <v>45</v>
      </c>
      <c r="H1" s="39" t="s">
        <v>46</v>
      </c>
    </row>
    <row r="2" spans="1:8" ht="18.75" customHeight="1" x14ac:dyDescent="0.2">
      <c r="A2" s="441"/>
      <c r="B2" s="444"/>
      <c r="C2" s="447"/>
      <c r="D2" s="450"/>
      <c r="E2" s="39" t="s">
        <v>47</v>
      </c>
      <c r="F2" s="39" t="s">
        <v>48</v>
      </c>
      <c r="G2" s="39" t="s">
        <v>49</v>
      </c>
      <c r="H2" s="39" t="s">
        <v>39</v>
      </c>
    </row>
    <row r="3" spans="1:8" ht="18.75" customHeight="1" x14ac:dyDescent="0.2">
      <c r="A3" s="442"/>
      <c r="B3" s="445"/>
      <c r="C3" s="448"/>
      <c r="D3" s="451"/>
      <c r="E3" s="39" t="s">
        <v>50</v>
      </c>
      <c r="F3" s="39" t="s">
        <v>51</v>
      </c>
      <c r="G3" s="39" t="s">
        <v>51</v>
      </c>
      <c r="H3" s="39" t="s">
        <v>52</v>
      </c>
    </row>
    <row r="4" spans="1:8" x14ac:dyDescent="0.2">
      <c r="A4" s="41"/>
      <c r="B4" s="42"/>
      <c r="C4" s="43"/>
      <c r="D4" s="44" t="s">
        <v>53</v>
      </c>
      <c r="E4" s="45"/>
      <c r="F4" s="45"/>
      <c r="G4" s="46">
        <f>SUBTOTAL(9,G11:G111)</f>
        <v>555</v>
      </c>
      <c r="H4" s="45" t="s">
        <v>40</v>
      </c>
    </row>
    <row r="5" spans="1:8" x14ac:dyDescent="0.2">
      <c r="A5" s="41"/>
      <c r="B5" s="47"/>
      <c r="C5" s="48"/>
      <c r="D5" s="44" t="s">
        <v>54</v>
      </c>
      <c r="E5" s="45"/>
      <c r="F5" s="45"/>
      <c r="G5" s="46">
        <f>SUMIF('Rozpocet_Kontrola-pro-IH'!H11:H110,"výrobní",'Rozpocet_Kontrola-pro-IH'!G11:G110)</f>
        <v>444</v>
      </c>
      <c r="H5" s="45"/>
    </row>
    <row r="6" spans="1:8" x14ac:dyDescent="0.2">
      <c r="A6" s="41"/>
      <c r="B6" s="47"/>
      <c r="C6" s="48"/>
      <c r="D6" s="44" t="s">
        <v>55</v>
      </c>
      <c r="E6" s="45"/>
      <c r="F6" s="45"/>
      <c r="G6" s="46">
        <f>SUMIF('Rozpocet_Kontrola-pro-IH'!H11:H110,"nevýrobní",'Rozpocet_Kontrola-pro-IH'!G11:G110)</f>
        <v>111</v>
      </c>
      <c r="H6" s="45"/>
    </row>
    <row r="7" spans="1:8" ht="36" x14ac:dyDescent="0.2">
      <c r="A7" s="41"/>
      <c r="B7" s="47"/>
      <c r="C7" s="48"/>
      <c r="D7" s="44" t="s">
        <v>56</v>
      </c>
      <c r="E7" s="45"/>
      <c r="F7" s="45"/>
      <c r="G7" s="45" t="str">
        <f>IF(AND(G5=0,G6=0),"",IF(G6&gt;=2*G5,"ROZPOČET OK","KRÁCENÍ ZPŮSOBILÝCH VÝDAJŮ"))</f>
        <v>KRÁCENÍ ZPŮSOBILÝCH VÝDAJŮ</v>
      </c>
      <c r="H7" s="45"/>
    </row>
    <row r="8" spans="1:8" x14ac:dyDescent="0.2">
      <c r="A8" s="41"/>
      <c r="B8" s="47"/>
      <c r="C8" s="48"/>
      <c r="D8" s="44" t="s">
        <v>57</v>
      </c>
      <c r="E8" s="45"/>
      <c r="F8" s="45"/>
      <c r="G8" s="45">
        <f>IF(AND(G5=0,G6=0),"",IF(G7="KRÁCENÍ ZPŮSOBILÝCH VÝDAJŮ",G5-G6/2,"-"))</f>
        <v>388.5</v>
      </c>
      <c r="H8" s="45"/>
    </row>
    <row r="9" spans="1:8" x14ac:dyDescent="0.2">
      <c r="A9" s="49"/>
      <c r="B9" s="47"/>
      <c r="C9" s="48"/>
      <c r="D9" s="44"/>
      <c r="E9" s="45"/>
      <c r="F9" s="45"/>
      <c r="G9" s="45"/>
      <c r="H9" s="45"/>
    </row>
    <row r="10" spans="1:8" s="51" customFormat="1" x14ac:dyDescent="0.2">
      <c r="A10" s="50"/>
      <c r="D10" s="52" t="s">
        <v>58</v>
      </c>
      <c r="E10" s="53">
        <v>5</v>
      </c>
      <c r="F10" s="54">
        <v>100</v>
      </c>
      <c r="G10" s="55">
        <f>E10*F10</f>
        <v>500</v>
      </c>
      <c r="H10" s="56" t="s">
        <v>40</v>
      </c>
    </row>
    <row r="11" spans="1:8" x14ac:dyDescent="0.2">
      <c r="A11" s="57" t="str">
        <f>A$1</f>
        <v>11.</v>
      </c>
      <c r="B11" s="58" t="s">
        <v>59</v>
      </c>
      <c r="C11" s="59">
        <v>1</v>
      </c>
      <c r="D11" s="60" t="s">
        <v>60</v>
      </c>
      <c r="E11" s="61">
        <v>1</v>
      </c>
      <c r="F11" s="62">
        <v>111</v>
      </c>
      <c r="G11" s="55">
        <f t="shared" ref="G11:G74" si="0">IF(E11="","",IF(F11="","",E11*F11))</f>
        <v>111</v>
      </c>
      <c r="H11" s="63" t="s">
        <v>40</v>
      </c>
    </row>
    <row r="12" spans="1:8" x14ac:dyDescent="0.2">
      <c r="A12" s="57" t="str">
        <f t="shared" ref="A12:A75" si="1">A$1</f>
        <v>11.</v>
      </c>
      <c r="B12" s="58" t="s">
        <v>61</v>
      </c>
      <c r="C12" s="59">
        <v>2</v>
      </c>
      <c r="D12" s="60" t="s">
        <v>60</v>
      </c>
      <c r="E12" s="61">
        <v>2</v>
      </c>
      <c r="F12" s="62">
        <v>222</v>
      </c>
      <c r="G12" s="55">
        <f t="shared" si="0"/>
        <v>444</v>
      </c>
      <c r="H12" s="63" t="s">
        <v>39</v>
      </c>
    </row>
    <row r="13" spans="1:8" x14ac:dyDescent="0.2">
      <c r="A13" s="57" t="str">
        <f t="shared" si="1"/>
        <v>11.</v>
      </c>
      <c r="B13" s="58" t="s">
        <v>61</v>
      </c>
      <c r="C13" s="59">
        <v>3</v>
      </c>
      <c r="D13" s="60" t="s">
        <v>60</v>
      </c>
      <c r="E13" s="61"/>
      <c r="F13" s="62"/>
      <c r="G13" s="55" t="str">
        <f t="shared" si="0"/>
        <v/>
      </c>
      <c r="H13" s="63"/>
    </row>
    <row r="14" spans="1:8" x14ac:dyDescent="0.2">
      <c r="A14" s="57" t="str">
        <f t="shared" si="1"/>
        <v>11.</v>
      </c>
      <c r="B14" s="58" t="s">
        <v>61</v>
      </c>
      <c r="C14" s="59">
        <v>4</v>
      </c>
      <c r="D14" s="60" t="s">
        <v>60</v>
      </c>
      <c r="E14" s="61"/>
      <c r="F14" s="62"/>
      <c r="G14" s="55" t="str">
        <f t="shared" si="0"/>
        <v/>
      </c>
      <c r="H14" s="63"/>
    </row>
    <row r="15" spans="1:8" x14ac:dyDescent="0.2">
      <c r="A15" s="57" t="str">
        <f t="shared" si="1"/>
        <v>11.</v>
      </c>
      <c r="B15" s="58" t="s">
        <v>61</v>
      </c>
      <c r="C15" s="59">
        <v>5</v>
      </c>
      <c r="D15" s="60" t="s">
        <v>60</v>
      </c>
      <c r="E15" s="61"/>
      <c r="F15" s="62"/>
      <c r="G15" s="55" t="str">
        <f t="shared" si="0"/>
        <v/>
      </c>
      <c r="H15" s="63"/>
    </row>
    <row r="16" spans="1:8" x14ac:dyDescent="0.2">
      <c r="A16" s="57" t="str">
        <f t="shared" si="1"/>
        <v>11.</v>
      </c>
      <c r="B16" s="58" t="s">
        <v>61</v>
      </c>
      <c r="C16" s="59">
        <v>6</v>
      </c>
      <c r="D16" s="60" t="s">
        <v>60</v>
      </c>
      <c r="E16" s="61"/>
      <c r="F16" s="62"/>
      <c r="G16" s="55" t="str">
        <f t="shared" si="0"/>
        <v/>
      </c>
      <c r="H16" s="63"/>
    </row>
    <row r="17" spans="1:8" x14ac:dyDescent="0.2">
      <c r="A17" s="57" t="str">
        <f t="shared" si="1"/>
        <v>11.</v>
      </c>
      <c r="B17" s="58" t="s">
        <v>61</v>
      </c>
      <c r="C17" s="59">
        <v>7</v>
      </c>
      <c r="D17" s="60" t="s">
        <v>60</v>
      </c>
      <c r="E17" s="61"/>
      <c r="F17" s="62"/>
      <c r="G17" s="55" t="str">
        <f t="shared" si="0"/>
        <v/>
      </c>
      <c r="H17" s="63"/>
    </row>
    <row r="18" spans="1:8" x14ac:dyDescent="0.2">
      <c r="A18" s="57" t="str">
        <f t="shared" si="1"/>
        <v>11.</v>
      </c>
      <c r="B18" s="58" t="s">
        <v>61</v>
      </c>
      <c r="C18" s="59">
        <v>8</v>
      </c>
      <c r="D18" s="60" t="s">
        <v>60</v>
      </c>
      <c r="E18" s="61"/>
      <c r="F18" s="62"/>
      <c r="G18" s="55" t="str">
        <f t="shared" si="0"/>
        <v/>
      </c>
      <c r="H18" s="63"/>
    </row>
    <row r="19" spans="1:8" x14ac:dyDescent="0.2">
      <c r="A19" s="57" t="str">
        <f t="shared" si="1"/>
        <v>11.</v>
      </c>
      <c r="B19" s="58" t="s">
        <v>61</v>
      </c>
      <c r="C19" s="59">
        <v>9</v>
      </c>
      <c r="D19" s="60" t="s">
        <v>60</v>
      </c>
      <c r="E19" s="61"/>
      <c r="F19" s="62"/>
      <c r="G19" s="55" t="str">
        <f t="shared" si="0"/>
        <v/>
      </c>
      <c r="H19" s="63"/>
    </row>
    <row r="20" spans="1:8" x14ac:dyDescent="0.2">
      <c r="A20" s="57" t="str">
        <f t="shared" si="1"/>
        <v>11.</v>
      </c>
      <c r="B20" s="58" t="s">
        <v>61</v>
      </c>
      <c r="C20" s="59">
        <v>10</v>
      </c>
      <c r="D20" s="60" t="s">
        <v>60</v>
      </c>
      <c r="E20" s="61"/>
      <c r="F20" s="62"/>
      <c r="G20" s="55" t="str">
        <f t="shared" si="0"/>
        <v/>
      </c>
      <c r="H20" s="63"/>
    </row>
    <row r="21" spans="1:8" x14ac:dyDescent="0.2">
      <c r="A21" s="57" t="str">
        <f t="shared" si="1"/>
        <v>11.</v>
      </c>
      <c r="B21" s="58" t="s">
        <v>61</v>
      </c>
      <c r="C21" s="59">
        <v>11</v>
      </c>
      <c r="D21" s="60" t="s">
        <v>60</v>
      </c>
      <c r="E21" s="61"/>
      <c r="F21" s="62"/>
      <c r="G21" s="55" t="str">
        <f t="shared" si="0"/>
        <v/>
      </c>
      <c r="H21" s="63"/>
    </row>
    <row r="22" spans="1:8" x14ac:dyDescent="0.2">
      <c r="A22" s="57" t="str">
        <f t="shared" si="1"/>
        <v>11.</v>
      </c>
      <c r="B22" s="58" t="s">
        <v>61</v>
      </c>
      <c r="C22" s="59">
        <v>12</v>
      </c>
      <c r="D22" s="60" t="s">
        <v>60</v>
      </c>
      <c r="E22" s="61"/>
      <c r="F22" s="62"/>
      <c r="G22" s="55" t="str">
        <f t="shared" si="0"/>
        <v/>
      </c>
      <c r="H22" s="63"/>
    </row>
    <row r="23" spans="1:8" x14ac:dyDescent="0.2">
      <c r="A23" s="57" t="str">
        <f t="shared" si="1"/>
        <v>11.</v>
      </c>
      <c r="B23" s="58" t="s">
        <v>61</v>
      </c>
      <c r="C23" s="59">
        <v>13</v>
      </c>
      <c r="D23" s="60" t="s">
        <v>60</v>
      </c>
      <c r="E23" s="61"/>
      <c r="F23" s="62"/>
      <c r="G23" s="55" t="str">
        <f t="shared" si="0"/>
        <v/>
      </c>
      <c r="H23" s="63"/>
    </row>
    <row r="24" spans="1:8" x14ac:dyDescent="0.2">
      <c r="A24" s="57" t="str">
        <f t="shared" si="1"/>
        <v>11.</v>
      </c>
      <c r="B24" s="58" t="s">
        <v>61</v>
      </c>
      <c r="C24" s="59">
        <v>14</v>
      </c>
      <c r="D24" s="60" t="s">
        <v>60</v>
      </c>
      <c r="E24" s="61"/>
      <c r="F24" s="62"/>
      <c r="G24" s="55" t="str">
        <f t="shared" si="0"/>
        <v/>
      </c>
      <c r="H24" s="63"/>
    </row>
    <row r="25" spans="1:8" x14ac:dyDescent="0.2">
      <c r="A25" s="57" t="str">
        <f t="shared" si="1"/>
        <v>11.</v>
      </c>
      <c r="B25" s="58" t="s">
        <v>61</v>
      </c>
      <c r="C25" s="59">
        <v>15</v>
      </c>
      <c r="D25" s="60" t="s">
        <v>60</v>
      </c>
      <c r="E25" s="61"/>
      <c r="F25" s="62"/>
      <c r="G25" s="55" t="str">
        <f t="shared" si="0"/>
        <v/>
      </c>
      <c r="H25" s="63"/>
    </row>
    <row r="26" spans="1:8" x14ac:dyDescent="0.2">
      <c r="A26" s="57" t="str">
        <f t="shared" si="1"/>
        <v>11.</v>
      </c>
      <c r="B26" s="58" t="s">
        <v>61</v>
      </c>
      <c r="C26" s="59">
        <v>16</v>
      </c>
      <c r="D26" s="60" t="s">
        <v>60</v>
      </c>
      <c r="E26" s="61"/>
      <c r="F26" s="62"/>
      <c r="G26" s="55" t="str">
        <f t="shared" si="0"/>
        <v/>
      </c>
      <c r="H26" s="63"/>
    </row>
    <row r="27" spans="1:8" x14ac:dyDescent="0.2">
      <c r="A27" s="57" t="str">
        <f t="shared" si="1"/>
        <v>11.</v>
      </c>
      <c r="B27" s="58" t="s">
        <v>61</v>
      </c>
      <c r="C27" s="59">
        <v>17</v>
      </c>
      <c r="D27" s="60" t="s">
        <v>60</v>
      </c>
      <c r="E27" s="61"/>
      <c r="F27" s="62"/>
      <c r="G27" s="55" t="str">
        <f t="shared" si="0"/>
        <v/>
      </c>
      <c r="H27" s="63"/>
    </row>
    <row r="28" spans="1:8" x14ac:dyDescent="0.2">
      <c r="A28" s="57" t="str">
        <f t="shared" si="1"/>
        <v>11.</v>
      </c>
      <c r="B28" s="58" t="s">
        <v>61</v>
      </c>
      <c r="C28" s="59">
        <v>18</v>
      </c>
      <c r="D28" s="60" t="s">
        <v>60</v>
      </c>
      <c r="E28" s="61"/>
      <c r="F28" s="62"/>
      <c r="G28" s="55" t="str">
        <f t="shared" si="0"/>
        <v/>
      </c>
      <c r="H28" s="63"/>
    </row>
    <row r="29" spans="1:8" x14ac:dyDescent="0.2">
      <c r="A29" s="57" t="str">
        <f t="shared" si="1"/>
        <v>11.</v>
      </c>
      <c r="B29" s="58" t="s">
        <v>61</v>
      </c>
      <c r="C29" s="59">
        <v>19</v>
      </c>
      <c r="D29" s="60" t="s">
        <v>60</v>
      </c>
      <c r="E29" s="61"/>
      <c r="F29" s="62"/>
      <c r="G29" s="55" t="str">
        <f t="shared" si="0"/>
        <v/>
      </c>
      <c r="H29" s="63"/>
    </row>
    <row r="30" spans="1:8" x14ac:dyDescent="0.2">
      <c r="A30" s="57" t="str">
        <f t="shared" si="1"/>
        <v>11.</v>
      </c>
      <c r="B30" s="58" t="s">
        <v>61</v>
      </c>
      <c r="C30" s="59">
        <v>20</v>
      </c>
      <c r="D30" s="60" t="s">
        <v>60</v>
      </c>
      <c r="E30" s="61"/>
      <c r="F30" s="62"/>
      <c r="G30" s="55" t="str">
        <f t="shared" si="0"/>
        <v/>
      </c>
      <c r="H30" s="63"/>
    </row>
    <row r="31" spans="1:8" x14ac:dyDescent="0.2">
      <c r="A31" s="57" t="str">
        <f t="shared" si="1"/>
        <v>11.</v>
      </c>
      <c r="B31" s="58" t="s">
        <v>61</v>
      </c>
      <c r="C31" s="59">
        <v>21</v>
      </c>
      <c r="D31" s="60" t="s">
        <v>60</v>
      </c>
      <c r="E31" s="61"/>
      <c r="F31" s="62"/>
      <c r="G31" s="55" t="str">
        <f t="shared" si="0"/>
        <v/>
      </c>
      <c r="H31" s="63"/>
    </row>
    <row r="32" spans="1:8" x14ac:dyDescent="0.2">
      <c r="A32" s="57" t="str">
        <f t="shared" si="1"/>
        <v>11.</v>
      </c>
      <c r="B32" s="58" t="s">
        <v>61</v>
      </c>
      <c r="C32" s="59">
        <v>22</v>
      </c>
      <c r="D32" s="60" t="s">
        <v>60</v>
      </c>
      <c r="E32" s="61"/>
      <c r="F32" s="62"/>
      <c r="G32" s="55" t="str">
        <f t="shared" si="0"/>
        <v/>
      </c>
      <c r="H32" s="63"/>
    </row>
    <row r="33" spans="1:8" x14ac:dyDescent="0.2">
      <c r="A33" s="57" t="str">
        <f t="shared" si="1"/>
        <v>11.</v>
      </c>
      <c r="B33" s="58" t="s">
        <v>61</v>
      </c>
      <c r="C33" s="59">
        <v>23</v>
      </c>
      <c r="D33" s="60" t="s">
        <v>60</v>
      </c>
      <c r="E33" s="61"/>
      <c r="F33" s="62"/>
      <c r="G33" s="55" t="str">
        <f t="shared" si="0"/>
        <v/>
      </c>
      <c r="H33" s="63"/>
    </row>
    <row r="34" spans="1:8" x14ac:dyDescent="0.2">
      <c r="A34" s="57" t="str">
        <f t="shared" si="1"/>
        <v>11.</v>
      </c>
      <c r="B34" s="58" t="s">
        <v>61</v>
      </c>
      <c r="C34" s="59">
        <v>24</v>
      </c>
      <c r="D34" s="60" t="s">
        <v>60</v>
      </c>
      <c r="E34" s="61"/>
      <c r="F34" s="62"/>
      <c r="G34" s="55" t="str">
        <f t="shared" si="0"/>
        <v/>
      </c>
      <c r="H34" s="63"/>
    </row>
    <row r="35" spans="1:8" x14ac:dyDescent="0.2">
      <c r="A35" s="57" t="str">
        <f t="shared" si="1"/>
        <v>11.</v>
      </c>
      <c r="B35" s="58" t="s">
        <v>61</v>
      </c>
      <c r="C35" s="59">
        <v>25</v>
      </c>
      <c r="D35" s="60" t="s">
        <v>60</v>
      </c>
      <c r="E35" s="61"/>
      <c r="F35" s="62"/>
      <c r="G35" s="55" t="str">
        <f t="shared" si="0"/>
        <v/>
      </c>
      <c r="H35" s="63"/>
    </row>
    <row r="36" spans="1:8" x14ac:dyDescent="0.2">
      <c r="A36" s="57" t="str">
        <f t="shared" si="1"/>
        <v>11.</v>
      </c>
      <c r="B36" s="58" t="s">
        <v>61</v>
      </c>
      <c r="C36" s="59">
        <v>26</v>
      </c>
      <c r="D36" s="60" t="s">
        <v>60</v>
      </c>
      <c r="E36" s="61"/>
      <c r="F36" s="62"/>
      <c r="G36" s="55" t="str">
        <f t="shared" si="0"/>
        <v/>
      </c>
      <c r="H36" s="63"/>
    </row>
    <row r="37" spans="1:8" x14ac:dyDescent="0.2">
      <c r="A37" s="57" t="str">
        <f t="shared" si="1"/>
        <v>11.</v>
      </c>
      <c r="B37" s="58" t="s">
        <v>61</v>
      </c>
      <c r="C37" s="59">
        <v>27</v>
      </c>
      <c r="D37" s="60" t="s">
        <v>60</v>
      </c>
      <c r="E37" s="61"/>
      <c r="F37" s="62"/>
      <c r="G37" s="55" t="str">
        <f t="shared" si="0"/>
        <v/>
      </c>
      <c r="H37" s="63"/>
    </row>
    <row r="38" spans="1:8" x14ac:dyDescent="0.2">
      <c r="A38" s="57" t="str">
        <f t="shared" si="1"/>
        <v>11.</v>
      </c>
      <c r="B38" s="58" t="s">
        <v>61</v>
      </c>
      <c r="C38" s="59">
        <v>28</v>
      </c>
      <c r="D38" s="60" t="s">
        <v>60</v>
      </c>
      <c r="E38" s="61"/>
      <c r="F38" s="62"/>
      <c r="G38" s="55" t="str">
        <f t="shared" si="0"/>
        <v/>
      </c>
      <c r="H38" s="63"/>
    </row>
    <row r="39" spans="1:8" x14ac:dyDescent="0.2">
      <c r="A39" s="57" t="str">
        <f t="shared" si="1"/>
        <v>11.</v>
      </c>
      <c r="B39" s="58" t="s">
        <v>61</v>
      </c>
      <c r="C39" s="59">
        <v>29</v>
      </c>
      <c r="D39" s="60" t="s">
        <v>60</v>
      </c>
      <c r="E39" s="61"/>
      <c r="F39" s="62"/>
      <c r="G39" s="55" t="str">
        <f t="shared" si="0"/>
        <v/>
      </c>
      <c r="H39" s="63"/>
    </row>
    <row r="40" spans="1:8" x14ac:dyDescent="0.2">
      <c r="A40" s="57" t="str">
        <f t="shared" si="1"/>
        <v>11.</v>
      </c>
      <c r="B40" s="58" t="s">
        <v>61</v>
      </c>
      <c r="C40" s="59">
        <v>30</v>
      </c>
      <c r="D40" s="60" t="s">
        <v>60</v>
      </c>
      <c r="E40" s="61"/>
      <c r="F40" s="62"/>
      <c r="G40" s="55" t="str">
        <f t="shared" si="0"/>
        <v/>
      </c>
      <c r="H40" s="63"/>
    </row>
    <row r="41" spans="1:8" x14ac:dyDescent="0.2">
      <c r="A41" s="57" t="str">
        <f t="shared" si="1"/>
        <v>11.</v>
      </c>
      <c r="B41" s="58" t="s">
        <v>61</v>
      </c>
      <c r="C41" s="59">
        <v>31</v>
      </c>
      <c r="D41" s="60" t="s">
        <v>60</v>
      </c>
      <c r="E41" s="61"/>
      <c r="F41" s="62"/>
      <c r="G41" s="55" t="str">
        <f t="shared" si="0"/>
        <v/>
      </c>
      <c r="H41" s="63"/>
    </row>
    <row r="42" spans="1:8" x14ac:dyDescent="0.2">
      <c r="A42" s="57" t="str">
        <f t="shared" si="1"/>
        <v>11.</v>
      </c>
      <c r="B42" s="58" t="s">
        <v>61</v>
      </c>
      <c r="C42" s="59">
        <v>32</v>
      </c>
      <c r="D42" s="60" t="s">
        <v>60</v>
      </c>
      <c r="E42" s="61"/>
      <c r="F42" s="62"/>
      <c r="G42" s="55" t="str">
        <f t="shared" si="0"/>
        <v/>
      </c>
      <c r="H42" s="63"/>
    </row>
    <row r="43" spans="1:8" x14ac:dyDescent="0.2">
      <c r="A43" s="57" t="str">
        <f t="shared" si="1"/>
        <v>11.</v>
      </c>
      <c r="B43" s="58" t="s">
        <v>61</v>
      </c>
      <c r="C43" s="59">
        <v>33</v>
      </c>
      <c r="D43" s="60" t="s">
        <v>60</v>
      </c>
      <c r="E43" s="61"/>
      <c r="F43" s="62"/>
      <c r="G43" s="55" t="str">
        <f t="shared" si="0"/>
        <v/>
      </c>
      <c r="H43" s="63"/>
    </row>
    <row r="44" spans="1:8" x14ac:dyDescent="0.2">
      <c r="A44" s="57" t="str">
        <f t="shared" si="1"/>
        <v>11.</v>
      </c>
      <c r="B44" s="58" t="s">
        <v>61</v>
      </c>
      <c r="C44" s="59">
        <v>34</v>
      </c>
      <c r="D44" s="60" t="s">
        <v>60</v>
      </c>
      <c r="E44" s="61"/>
      <c r="F44" s="62"/>
      <c r="G44" s="55" t="str">
        <f t="shared" si="0"/>
        <v/>
      </c>
      <c r="H44" s="63"/>
    </row>
    <row r="45" spans="1:8" x14ac:dyDescent="0.2">
      <c r="A45" s="57" t="str">
        <f t="shared" si="1"/>
        <v>11.</v>
      </c>
      <c r="B45" s="58" t="s">
        <v>61</v>
      </c>
      <c r="C45" s="59">
        <v>35</v>
      </c>
      <c r="D45" s="60" t="s">
        <v>60</v>
      </c>
      <c r="E45" s="61"/>
      <c r="F45" s="62"/>
      <c r="G45" s="55" t="str">
        <f t="shared" si="0"/>
        <v/>
      </c>
      <c r="H45" s="63"/>
    </row>
    <row r="46" spans="1:8" x14ac:dyDescent="0.2">
      <c r="A46" s="57" t="str">
        <f t="shared" si="1"/>
        <v>11.</v>
      </c>
      <c r="B46" s="58" t="s">
        <v>61</v>
      </c>
      <c r="C46" s="59">
        <v>36</v>
      </c>
      <c r="D46" s="60" t="s">
        <v>60</v>
      </c>
      <c r="E46" s="61"/>
      <c r="F46" s="62"/>
      <c r="G46" s="55" t="str">
        <f t="shared" si="0"/>
        <v/>
      </c>
      <c r="H46" s="63"/>
    </row>
    <row r="47" spans="1:8" x14ac:dyDescent="0.2">
      <c r="A47" s="57" t="str">
        <f t="shared" si="1"/>
        <v>11.</v>
      </c>
      <c r="B47" s="58" t="s">
        <v>61</v>
      </c>
      <c r="C47" s="59">
        <v>37</v>
      </c>
      <c r="D47" s="60" t="s">
        <v>60</v>
      </c>
      <c r="E47" s="61"/>
      <c r="F47" s="62"/>
      <c r="G47" s="55" t="str">
        <f t="shared" si="0"/>
        <v/>
      </c>
      <c r="H47" s="63"/>
    </row>
    <row r="48" spans="1:8" x14ac:dyDescent="0.2">
      <c r="A48" s="57" t="str">
        <f t="shared" si="1"/>
        <v>11.</v>
      </c>
      <c r="B48" s="58" t="s">
        <v>61</v>
      </c>
      <c r="C48" s="59">
        <v>38</v>
      </c>
      <c r="D48" s="60" t="s">
        <v>60</v>
      </c>
      <c r="E48" s="61"/>
      <c r="F48" s="62"/>
      <c r="G48" s="55" t="str">
        <f t="shared" si="0"/>
        <v/>
      </c>
      <c r="H48" s="63"/>
    </row>
    <row r="49" spans="1:8" x14ac:dyDescent="0.2">
      <c r="A49" s="57" t="str">
        <f t="shared" si="1"/>
        <v>11.</v>
      </c>
      <c r="B49" s="58" t="s">
        <v>61</v>
      </c>
      <c r="C49" s="59">
        <v>39</v>
      </c>
      <c r="D49" s="60" t="s">
        <v>60</v>
      </c>
      <c r="E49" s="61"/>
      <c r="F49" s="62"/>
      <c r="G49" s="55" t="str">
        <f t="shared" si="0"/>
        <v/>
      </c>
      <c r="H49" s="63"/>
    </row>
    <row r="50" spans="1:8" x14ac:dyDescent="0.2">
      <c r="A50" s="57" t="str">
        <f t="shared" si="1"/>
        <v>11.</v>
      </c>
      <c r="B50" s="58" t="s">
        <v>61</v>
      </c>
      <c r="C50" s="59">
        <v>40</v>
      </c>
      <c r="D50" s="60" t="s">
        <v>60</v>
      </c>
      <c r="E50" s="61"/>
      <c r="F50" s="62"/>
      <c r="G50" s="55" t="str">
        <f t="shared" si="0"/>
        <v/>
      </c>
      <c r="H50" s="63"/>
    </row>
    <row r="51" spans="1:8" x14ac:dyDescent="0.2">
      <c r="A51" s="57" t="str">
        <f t="shared" si="1"/>
        <v>11.</v>
      </c>
      <c r="B51" s="58" t="s">
        <v>61</v>
      </c>
      <c r="C51" s="59">
        <v>41</v>
      </c>
      <c r="D51" s="60" t="s">
        <v>60</v>
      </c>
      <c r="E51" s="61"/>
      <c r="F51" s="62"/>
      <c r="G51" s="55" t="str">
        <f t="shared" si="0"/>
        <v/>
      </c>
      <c r="H51" s="63"/>
    </row>
    <row r="52" spans="1:8" x14ac:dyDescent="0.2">
      <c r="A52" s="57" t="str">
        <f t="shared" si="1"/>
        <v>11.</v>
      </c>
      <c r="B52" s="58" t="s">
        <v>61</v>
      </c>
      <c r="C52" s="59">
        <v>42</v>
      </c>
      <c r="D52" s="60" t="s">
        <v>60</v>
      </c>
      <c r="E52" s="61"/>
      <c r="F52" s="62"/>
      <c r="G52" s="55" t="str">
        <f t="shared" si="0"/>
        <v/>
      </c>
      <c r="H52" s="63"/>
    </row>
    <row r="53" spans="1:8" x14ac:dyDescent="0.2">
      <c r="A53" s="57" t="str">
        <f t="shared" si="1"/>
        <v>11.</v>
      </c>
      <c r="B53" s="58" t="s">
        <v>61</v>
      </c>
      <c r="C53" s="59">
        <v>43</v>
      </c>
      <c r="D53" s="60" t="s">
        <v>60</v>
      </c>
      <c r="E53" s="61"/>
      <c r="F53" s="62"/>
      <c r="G53" s="55" t="str">
        <f t="shared" si="0"/>
        <v/>
      </c>
      <c r="H53" s="63"/>
    </row>
    <row r="54" spans="1:8" x14ac:dyDescent="0.2">
      <c r="A54" s="57" t="str">
        <f t="shared" si="1"/>
        <v>11.</v>
      </c>
      <c r="B54" s="58" t="s">
        <v>61</v>
      </c>
      <c r="C54" s="59">
        <v>44</v>
      </c>
      <c r="D54" s="60" t="s">
        <v>60</v>
      </c>
      <c r="E54" s="61"/>
      <c r="F54" s="62"/>
      <c r="G54" s="55" t="str">
        <f t="shared" si="0"/>
        <v/>
      </c>
      <c r="H54" s="63"/>
    </row>
    <row r="55" spans="1:8" x14ac:dyDescent="0.2">
      <c r="A55" s="57" t="str">
        <f t="shared" si="1"/>
        <v>11.</v>
      </c>
      <c r="B55" s="58" t="s">
        <v>61</v>
      </c>
      <c r="C55" s="59">
        <v>45</v>
      </c>
      <c r="D55" s="60" t="s">
        <v>60</v>
      </c>
      <c r="E55" s="61"/>
      <c r="F55" s="62"/>
      <c r="G55" s="55" t="str">
        <f t="shared" si="0"/>
        <v/>
      </c>
      <c r="H55" s="63"/>
    </row>
    <row r="56" spans="1:8" x14ac:dyDescent="0.2">
      <c r="A56" s="57" t="str">
        <f t="shared" si="1"/>
        <v>11.</v>
      </c>
      <c r="B56" s="58" t="s">
        <v>61</v>
      </c>
      <c r="C56" s="59">
        <v>46</v>
      </c>
      <c r="D56" s="60" t="s">
        <v>60</v>
      </c>
      <c r="E56" s="61"/>
      <c r="F56" s="62"/>
      <c r="G56" s="55" t="str">
        <f t="shared" si="0"/>
        <v/>
      </c>
      <c r="H56" s="63"/>
    </row>
    <row r="57" spans="1:8" x14ac:dyDescent="0.2">
      <c r="A57" s="57" t="str">
        <f t="shared" si="1"/>
        <v>11.</v>
      </c>
      <c r="B57" s="58" t="s">
        <v>61</v>
      </c>
      <c r="C57" s="59">
        <v>47</v>
      </c>
      <c r="D57" s="60" t="s">
        <v>60</v>
      </c>
      <c r="E57" s="61"/>
      <c r="F57" s="62"/>
      <c r="G57" s="55" t="str">
        <f t="shared" si="0"/>
        <v/>
      </c>
      <c r="H57" s="63"/>
    </row>
    <row r="58" spans="1:8" x14ac:dyDescent="0.2">
      <c r="A58" s="57" t="str">
        <f t="shared" si="1"/>
        <v>11.</v>
      </c>
      <c r="B58" s="58" t="s">
        <v>61</v>
      </c>
      <c r="C58" s="59">
        <v>48</v>
      </c>
      <c r="D58" s="60" t="s">
        <v>60</v>
      </c>
      <c r="E58" s="61"/>
      <c r="F58" s="62"/>
      <c r="G58" s="55" t="str">
        <f t="shared" si="0"/>
        <v/>
      </c>
      <c r="H58" s="63"/>
    </row>
    <row r="59" spans="1:8" x14ac:dyDescent="0.2">
      <c r="A59" s="57" t="str">
        <f t="shared" si="1"/>
        <v>11.</v>
      </c>
      <c r="B59" s="58" t="s">
        <v>61</v>
      </c>
      <c r="C59" s="59">
        <v>49</v>
      </c>
      <c r="D59" s="60" t="s">
        <v>60</v>
      </c>
      <c r="E59" s="61"/>
      <c r="F59" s="62"/>
      <c r="G59" s="55" t="str">
        <f t="shared" si="0"/>
        <v/>
      </c>
      <c r="H59" s="63"/>
    </row>
    <row r="60" spans="1:8" x14ac:dyDescent="0.2">
      <c r="A60" s="57" t="str">
        <f t="shared" si="1"/>
        <v>11.</v>
      </c>
      <c r="B60" s="58" t="s">
        <v>61</v>
      </c>
      <c r="C60" s="59">
        <v>50</v>
      </c>
      <c r="D60" s="60" t="s">
        <v>60</v>
      </c>
      <c r="E60" s="61"/>
      <c r="F60" s="62"/>
      <c r="G60" s="55" t="str">
        <f t="shared" si="0"/>
        <v/>
      </c>
      <c r="H60" s="63"/>
    </row>
    <row r="61" spans="1:8" x14ac:dyDescent="0.2">
      <c r="A61" s="57" t="str">
        <f t="shared" si="1"/>
        <v>11.</v>
      </c>
      <c r="B61" s="58" t="s">
        <v>61</v>
      </c>
      <c r="C61" s="59">
        <v>51</v>
      </c>
      <c r="D61" s="60" t="s">
        <v>60</v>
      </c>
      <c r="E61" s="61"/>
      <c r="F61" s="62"/>
      <c r="G61" s="55" t="str">
        <f t="shared" si="0"/>
        <v/>
      </c>
      <c r="H61" s="63"/>
    </row>
    <row r="62" spans="1:8" x14ac:dyDescent="0.2">
      <c r="A62" s="57" t="str">
        <f t="shared" si="1"/>
        <v>11.</v>
      </c>
      <c r="B62" s="58" t="s">
        <v>61</v>
      </c>
      <c r="C62" s="59">
        <v>52</v>
      </c>
      <c r="D62" s="60" t="s">
        <v>60</v>
      </c>
      <c r="E62" s="61"/>
      <c r="F62" s="62"/>
      <c r="G62" s="55" t="str">
        <f t="shared" si="0"/>
        <v/>
      </c>
      <c r="H62" s="63"/>
    </row>
    <row r="63" spans="1:8" x14ac:dyDescent="0.2">
      <c r="A63" s="57" t="str">
        <f t="shared" si="1"/>
        <v>11.</v>
      </c>
      <c r="B63" s="58" t="s">
        <v>61</v>
      </c>
      <c r="C63" s="59">
        <v>53</v>
      </c>
      <c r="D63" s="60" t="s">
        <v>60</v>
      </c>
      <c r="E63" s="61"/>
      <c r="F63" s="62"/>
      <c r="G63" s="55" t="str">
        <f t="shared" si="0"/>
        <v/>
      </c>
      <c r="H63" s="63"/>
    </row>
    <row r="64" spans="1:8" x14ac:dyDescent="0.2">
      <c r="A64" s="57" t="str">
        <f t="shared" si="1"/>
        <v>11.</v>
      </c>
      <c r="B64" s="58" t="s">
        <v>61</v>
      </c>
      <c r="C64" s="59">
        <v>54</v>
      </c>
      <c r="D64" s="60" t="s">
        <v>60</v>
      </c>
      <c r="E64" s="61"/>
      <c r="F64" s="62"/>
      <c r="G64" s="55" t="str">
        <f t="shared" si="0"/>
        <v/>
      </c>
      <c r="H64" s="63"/>
    </row>
    <row r="65" spans="1:8" x14ac:dyDescent="0.2">
      <c r="A65" s="57" t="str">
        <f t="shared" si="1"/>
        <v>11.</v>
      </c>
      <c r="B65" s="58" t="s">
        <v>61</v>
      </c>
      <c r="C65" s="59">
        <v>55</v>
      </c>
      <c r="D65" s="60" t="s">
        <v>60</v>
      </c>
      <c r="E65" s="61"/>
      <c r="F65" s="62"/>
      <c r="G65" s="55" t="str">
        <f t="shared" si="0"/>
        <v/>
      </c>
      <c r="H65" s="63"/>
    </row>
    <row r="66" spans="1:8" x14ac:dyDescent="0.2">
      <c r="A66" s="57" t="str">
        <f t="shared" si="1"/>
        <v>11.</v>
      </c>
      <c r="B66" s="58" t="s">
        <v>61</v>
      </c>
      <c r="C66" s="59">
        <v>56</v>
      </c>
      <c r="D66" s="60" t="s">
        <v>60</v>
      </c>
      <c r="E66" s="61"/>
      <c r="F66" s="62"/>
      <c r="G66" s="55" t="str">
        <f t="shared" si="0"/>
        <v/>
      </c>
      <c r="H66" s="63"/>
    </row>
    <row r="67" spans="1:8" x14ac:dyDescent="0.2">
      <c r="A67" s="57" t="str">
        <f t="shared" si="1"/>
        <v>11.</v>
      </c>
      <c r="B67" s="58" t="s">
        <v>61</v>
      </c>
      <c r="C67" s="59">
        <v>57</v>
      </c>
      <c r="D67" s="60" t="s">
        <v>60</v>
      </c>
      <c r="E67" s="61"/>
      <c r="F67" s="62"/>
      <c r="G67" s="55" t="str">
        <f t="shared" si="0"/>
        <v/>
      </c>
      <c r="H67" s="63"/>
    </row>
    <row r="68" spans="1:8" x14ac:dyDescent="0.2">
      <c r="A68" s="57" t="str">
        <f t="shared" si="1"/>
        <v>11.</v>
      </c>
      <c r="B68" s="58" t="s">
        <v>61</v>
      </c>
      <c r="C68" s="59">
        <v>58</v>
      </c>
      <c r="D68" s="60" t="s">
        <v>60</v>
      </c>
      <c r="E68" s="61"/>
      <c r="F68" s="62"/>
      <c r="G68" s="55" t="str">
        <f t="shared" si="0"/>
        <v/>
      </c>
      <c r="H68" s="63"/>
    </row>
    <row r="69" spans="1:8" x14ac:dyDescent="0.2">
      <c r="A69" s="57" t="str">
        <f t="shared" si="1"/>
        <v>11.</v>
      </c>
      <c r="B69" s="58" t="s">
        <v>61</v>
      </c>
      <c r="C69" s="59">
        <v>59</v>
      </c>
      <c r="D69" s="60" t="s">
        <v>60</v>
      </c>
      <c r="E69" s="61"/>
      <c r="F69" s="62"/>
      <c r="G69" s="55" t="str">
        <f t="shared" si="0"/>
        <v/>
      </c>
      <c r="H69" s="63"/>
    </row>
    <row r="70" spans="1:8" x14ac:dyDescent="0.2">
      <c r="A70" s="57" t="str">
        <f t="shared" si="1"/>
        <v>11.</v>
      </c>
      <c r="B70" s="58" t="s">
        <v>61</v>
      </c>
      <c r="C70" s="59">
        <v>60</v>
      </c>
      <c r="D70" s="60" t="s">
        <v>60</v>
      </c>
      <c r="E70" s="61"/>
      <c r="F70" s="62"/>
      <c r="G70" s="55" t="str">
        <f t="shared" si="0"/>
        <v/>
      </c>
      <c r="H70" s="63"/>
    </row>
    <row r="71" spans="1:8" x14ac:dyDescent="0.2">
      <c r="A71" s="57" t="str">
        <f t="shared" si="1"/>
        <v>11.</v>
      </c>
      <c r="B71" s="58" t="s">
        <v>61</v>
      </c>
      <c r="C71" s="59">
        <v>61</v>
      </c>
      <c r="D71" s="60" t="s">
        <v>60</v>
      </c>
      <c r="E71" s="61"/>
      <c r="F71" s="62"/>
      <c r="G71" s="55" t="str">
        <f t="shared" si="0"/>
        <v/>
      </c>
      <c r="H71" s="63"/>
    </row>
    <row r="72" spans="1:8" x14ac:dyDescent="0.2">
      <c r="A72" s="57" t="str">
        <f t="shared" si="1"/>
        <v>11.</v>
      </c>
      <c r="B72" s="58" t="s">
        <v>61</v>
      </c>
      <c r="C72" s="59">
        <v>62</v>
      </c>
      <c r="D72" s="60" t="s">
        <v>60</v>
      </c>
      <c r="E72" s="61"/>
      <c r="F72" s="62"/>
      <c r="G72" s="55" t="str">
        <f t="shared" si="0"/>
        <v/>
      </c>
      <c r="H72" s="63"/>
    </row>
    <row r="73" spans="1:8" x14ac:dyDescent="0.2">
      <c r="A73" s="57" t="str">
        <f t="shared" si="1"/>
        <v>11.</v>
      </c>
      <c r="B73" s="58" t="s">
        <v>61</v>
      </c>
      <c r="C73" s="59">
        <v>63</v>
      </c>
      <c r="D73" s="60" t="s">
        <v>60</v>
      </c>
      <c r="E73" s="61"/>
      <c r="F73" s="62"/>
      <c r="G73" s="55" t="str">
        <f t="shared" si="0"/>
        <v/>
      </c>
      <c r="H73" s="63"/>
    </row>
    <row r="74" spans="1:8" x14ac:dyDescent="0.2">
      <c r="A74" s="57" t="str">
        <f t="shared" si="1"/>
        <v>11.</v>
      </c>
      <c r="B74" s="58" t="s">
        <v>61</v>
      </c>
      <c r="C74" s="59">
        <v>64</v>
      </c>
      <c r="D74" s="60" t="s">
        <v>60</v>
      </c>
      <c r="E74" s="61"/>
      <c r="F74" s="62"/>
      <c r="G74" s="55" t="str">
        <f t="shared" si="0"/>
        <v/>
      </c>
      <c r="H74" s="63"/>
    </row>
    <row r="75" spans="1:8" x14ac:dyDescent="0.2">
      <c r="A75" s="57" t="str">
        <f t="shared" si="1"/>
        <v>11.</v>
      </c>
      <c r="B75" s="58" t="s">
        <v>61</v>
      </c>
      <c r="C75" s="59">
        <v>65</v>
      </c>
      <c r="D75" s="60" t="s">
        <v>60</v>
      </c>
      <c r="E75" s="61"/>
      <c r="F75" s="62"/>
      <c r="G75" s="55" t="str">
        <f t="shared" ref="G75:G110" si="2">IF(E75="","",IF(F75="","",E75*F75))</f>
        <v/>
      </c>
      <c r="H75" s="63"/>
    </row>
    <row r="76" spans="1:8" x14ac:dyDescent="0.2">
      <c r="A76" s="57" t="str">
        <f t="shared" ref="A76:A110" si="3">A$1</f>
        <v>11.</v>
      </c>
      <c r="B76" s="58" t="s">
        <v>61</v>
      </c>
      <c r="C76" s="59">
        <v>66</v>
      </c>
      <c r="D76" s="60" t="s">
        <v>60</v>
      </c>
      <c r="E76" s="61"/>
      <c r="F76" s="62"/>
      <c r="G76" s="55" t="str">
        <f t="shared" si="2"/>
        <v/>
      </c>
      <c r="H76" s="63"/>
    </row>
    <row r="77" spans="1:8" x14ac:dyDescent="0.2">
      <c r="A77" s="57" t="str">
        <f t="shared" si="3"/>
        <v>11.</v>
      </c>
      <c r="B77" s="58" t="s">
        <v>61</v>
      </c>
      <c r="C77" s="59">
        <v>67</v>
      </c>
      <c r="D77" s="60" t="s">
        <v>60</v>
      </c>
      <c r="E77" s="61"/>
      <c r="F77" s="62"/>
      <c r="G77" s="55" t="str">
        <f t="shared" si="2"/>
        <v/>
      </c>
      <c r="H77" s="63"/>
    </row>
    <row r="78" spans="1:8" x14ac:dyDescent="0.2">
      <c r="A78" s="57" t="str">
        <f t="shared" si="3"/>
        <v>11.</v>
      </c>
      <c r="B78" s="58" t="s">
        <v>61</v>
      </c>
      <c r="C78" s="59">
        <v>68</v>
      </c>
      <c r="D78" s="60" t="s">
        <v>60</v>
      </c>
      <c r="E78" s="61"/>
      <c r="F78" s="62"/>
      <c r="G78" s="55" t="str">
        <f t="shared" si="2"/>
        <v/>
      </c>
      <c r="H78" s="63"/>
    </row>
    <row r="79" spans="1:8" x14ac:dyDescent="0.2">
      <c r="A79" s="57" t="str">
        <f t="shared" si="3"/>
        <v>11.</v>
      </c>
      <c r="B79" s="58" t="s">
        <v>61</v>
      </c>
      <c r="C79" s="59">
        <v>69</v>
      </c>
      <c r="D79" s="60" t="s">
        <v>60</v>
      </c>
      <c r="E79" s="61"/>
      <c r="F79" s="62"/>
      <c r="G79" s="55" t="str">
        <f t="shared" si="2"/>
        <v/>
      </c>
      <c r="H79" s="63"/>
    </row>
    <row r="80" spans="1:8" x14ac:dyDescent="0.2">
      <c r="A80" s="57" t="str">
        <f t="shared" si="3"/>
        <v>11.</v>
      </c>
      <c r="B80" s="58" t="s">
        <v>61</v>
      </c>
      <c r="C80" s="59">
        <v>70</v>
      </c>
      <c r="D80" s="60" t="s">
        <v>60</v>
      </c>
      <c r="E80" s="61"/>
      <c r="F80" s="62"/>
      <c r="G80" s="55" t="str">
        <f t="shared" si="2"/>
        <v/>
      </c>
      <c r="H80" s="63"/>
    </row>
    <row r="81" spans="1:8" x14ac:dyDescent="0.2">
      <c r="A81" s="57" t="str">
        <f t="shared" si="3"/>
        <v>11.</v>
      </c>
      <c r="B81" s="58" t="s">
        <v>61</v>
      </c>
      <c r="C81" s="59">
        <v>71</v>
      </c>
      <c r="D81" s="60" t="s">
        <v>60</v>
      </c>
      <c r="E81" s="61"/>
      <c r="F81" s="62"/>
      <c r="G81" s="55" t="str">
        <f t="shared" si="2"/>
        <v/>
      </c>
      <c r="H81" s="63"/>
    </row>
    <row r="82" spans="1:8" x14ac:dyDescent="0.2">
      <c r="A82" s="57" t="str">
        <f t="shared" si="3"/>
        <v>11.</v>
      </c>
      <c r="B82" s="58" t="s">
        <v>61</v>
      </c>
      <c r="C82" s="59">
        <v>72</v>
      </c>
      <c r="D82" s="60" t="s">
        <v>60</v>
      </c>
      <c r="E82" s="61"/>
      <c r="F82" s="62"/>
      <c r="G82" s="55" t="str">
        <f t="shared" si="2"/>
        <v/>
      </c>
      <c r="H82" s="63"/>
    </row>
    <row r="83" spans="1:8" x14ac:dyDescent="0.2">
      <c r="A83" s="57" t="str">
        <f t="shared" si="3"/>
        <v>11.</v>
      </c>
      <c r="B83" s="58" t="s">
        <v>61</v>
      </c>
      <c r="C83" s="59">
        <v>73</v>
      </c>
      <c r="D83" s="60" t="s">
        <v>60</v>
      </c>
      <c r="E83" s="61"/>
      <c r="F83" s="62"/>
      <c r="G83" s="55" t="str">
        <f t="shared" si="2"/>
        <v/>
      </c>
      <c r="H83" s="63"/>
    </row>
    <row r="84" spans="1:8" x14ac:dyDescent="0.2">
      <c r="A84" s="57" t="str">
        <f t="shared" si="3"/>
        <v>11.</v>
      </c>
      <c r="B84" s="58" t="s">
        <v>61</v>
      </c>
      <c r="C84" s="59">
        <v>74</v>
      </c>
      <c r="D84" s="60" t="s">
        <v>60</v>
      </c>
      <c r="E84" s="61"/>
      <c r="F84" s="62"/>
      <c r="G84" s="55" t="str">
        <f t="shared" si="2"/>
        <v/>
      </c>
      <c r="H84" s="63"/>
    </row>
    <row r="85" spans="1:8" x14ac:dyDescent="0.2">
      <c r="A85" s="57" t="str">
        <f t="shared" si="3"/>
        <v>11.</v>
      </c>
      <c r="B85" s="58" t="s">
        <v>61</v>
      </c>
      <c r="C85" s="59">
        <v>75</v>
      </c>
      <c r="D85" s="60" t="s">
        <v>60</v>
      </c>
      <c r="E85" s="61"/>
      <c r="F85" s="62"/>
      <c r="G85" s="55" t="str">
        <f t="shared" si="2"/>
        <v/>
      </c>
      <c r="H85" s="63"/>
    </row>
    <row r="86" spans="1:8" x14ac:dyDescent="0.2">
      <c r="A86" s="57" t="str">
        <f t="shared" si="3"/>
        <v>11.</v>
      </c>
      <c r="B86" s="58" t="s">
        <v>61</v>
      </c>
      <c r="C86" s="59">
        <v>76</v>
      </c>
      <c r="D86" s="60" t="s">
        <v>60</v>
      </c>
      <c r="E86" s="61"/>
      <c r="F86" s="62"/>
      <c r="G86" s="55" t="str">
        <f t="shared" si="2"/>
        <v/>
      </c>
      <c r="H86" s="63"/>
    </row>
    <row r="87" spans="1:8" x14ac:dyDescent="0.2">
      <c r="A87" s="57" t="str">
        <f t="shared" si="3"/>
        <v>11.</v>
      </c>
      <c r="B87" s="58" t="s">
        <v>61</v>
      </c>
      <c r="C87" s="59">
        <v>77</v>
      </c>
      <c r="D87" s="60" t="s">
        <v>60</v>
      </c>
      <c r="E87" s="61"/>
      <c r="F87" s="62"/>
      <c r="G87" s="55" t="str">
        <f t="shared" si="2"/>
        <v/>
      </c>
      <c r="H87" s="63"/>
    </row>
    <row r="88" spans="1:8" x14ac:dyDescent="0.2">
      <c r="A88" s="57" t="str">
        <f t="shared" si="3"/>
        <v>11.</v>
      </c>
      <c r="B88" s="58" t="s">
        <v>61</v>
      </c>
      <c r="C88" s="59">
        <v>78</v>
      </c>
      <c r="D88" s="60" t="s">
        <v>60</v>
      </c>
      <c r="E88" s="61"/>
      <c r="F88" s="62"/>
      <c r="G88" s="55" t="str">
        <f t="shared" si="2"/>
        <v/>
      </c>
      <c r="H88" s="63"/>
    </row>
    <row r="89" spans="1:8" x14ac:dyDescent="0.2">
      <c r="A89" s="57" t="str">
        <f t="shared" si="3"/>
        <v>11.</v>
      </c>
      <c r="B89" s="58" t="s">
        <v>61</v>
      </c>
      <c r="C89" s="59">
        <v>79</v>
      </c>
      <c r="D89" s="60" t="s">
        <v>60</v>
      </c>
      <c r="E89" s="61"/>
      <c r="F89" s="62"/>
      <c r="G89" s="55" t="str">
        <f t="shared" si="2"/>
        <v/>
      </c>
      <c r="H89" s="63"/>
    </row>
    <row r="90" spans="1:8" x14ac:dyDescent="0.2">
      <c r="A90" s="57" t="str">
        <f t="shared" si="3"/>
        <v>11.</v>
      </c>
      <c r="B90" s="58" t="s">
        <v>61</v>
      </c>
      <c r="C90" s="59">
        <v>80</v>
      </c>
      <c r="D90" s="60" t="s">
        <v>60</v>
      </c>
      <c r="E90" s="61"/>
      <c r="F90" s="62"/>
      <c r="G90" s="55" t="str">
        <f t="shared" si="2"/>
        <v/>
      </c>
      <c r="H90" s="63"/>
    </row>
    <row r="91" spans="1:8" x14ac:dyDescent="0.2">
      <c r="A91" s="57" t="str">
        <f t="shared" si="3"/>
        <v>11.</v>
      </c>
      <c r="B91" s="58" t="s">
        <v>61</v>
      </c>
      <c r="C91" s="59">
        <v>81</v>
      </c>
      <c r="D91" s="60" t="s">
        <v>60</v>
      </c>
      <c r="E91" s="61"/>
      <c r="F91" s="62"/>
      <c r="G91" s="55" t="str">
        <f t="shared" si="2"/>
        <v/>
      </c>
      <c r="H91" s="63"/>
    </row>
    <row r="92" spans="1:8" x14ac:dyDescent="0.2">
      <c r="A92" s="57" t="str">
        <f t="shared" si="3"/>
        <v>11.</v>
      </c>
      <c r="B92" s="58" t="s">
        <v>61</v>
      </c>
      <c r="C92" s="59">
        <v>82</v>
      </c>
      <c r="D92" s="60" t="s">
        <v>60</v>
      </c>
      <c r="E92" s="61"/>
      <c r="F92" s="62"/>
      <c r="G92" s="55" t="str">
        <f t="shared" si="2"/>
        <v/>
      </c>
      <c r="H92" s="63"/>
    </row>
    <row r="93" spans="1:8" x14ac:dyDescent="0.2">
      <c r="A93" s="57" t="str">
        <f t="shared" si="3"/>
        <v>11.</v>
      </c>
      <c r="B93" s="58" t="s">
        <v>61</v>
      </c>
      <c r="C93" s="59">
        <v>83</v>
      </c>
      <c r="D93" s="60" t="s">
        <v>60</v>
      </c>
      <c r="E93" s="61"/>
      <c r="F93" s="62"/>
      <c r="G93" s="55" t="str">
        <f t="shared" si="2"/>
        <v/>
      </c>
      <c r="H93" s="63"/>
    </row>
    <row r="94" spans="1:8" x14ac:dyDescent="0.2">
      <c r="A94" s="57" t="str">
        <f t="shared" si="3"/>
        <v>11.</v>
      </c>
      <c r="B94" s="58" t="s">
        <v>61</v>
      </c>
      <c r="C94" s="59">
        <v>84</v>
      </c>
      <c r="D94" s="60" t="s">
        <v>60</v>
      </c>
      <c r="E94" s="61"/>
      <c r="F94" s="62"/>
      <c r="G94" s="55" t="str">
        <f t="shared" si="2"/>
        <v/>
      </c>
      <c r="H94" s="63"/>
    </row>
    <row r="95" spans="1:8" x14ac:dyDescent="0.2">
      <c r="A95" s="57" t="str">
        <f t="shared" si="3"/>
        <v>11.</v>
      </c>
      <c r="B95" s="58" t="s">
        <v>61</v>
      </c>
      <c r="C95" s="59">
        <v>85</v>
      </c>
      <c r="D95" s="60" t="s">
        <v>60</v>
      </c>
      <c r="E95" s="61"/>
      <c r="F95" s="62"/>
      <c r="G95" s="55" t="str">
        <f t="shared" si="2"/>
        <v/>
      </c>
      <c r="H95" s="63"/>
    </row>
    <row r="96" spans="1:8" x14ac:dyDescent="0.2">
      <c r="A96" s="57" t="str">
        <f t="shared" si="3"/>
        <v>11.</v>
      </c>
      <c r="B96" s="58" t="s">
        <v>61</v>
      </c>
      <c r="C96" s="59">
        <v>86</v>
      </c>
      <c r="D96" s="60" t="s">
        <v>60</v>
      </c>
      <c r="E96" s="61"/>
      <c r="F96" s="62"/>
      <c r="G96" s="55" t="str">
        <f t="shared" si="2"/>
        <v/>
      </c>
      <c r="H96" s="63"/>
    </row>
    <row r="97" spans="1:8" x14ac:dyDescent="0.2">
      <c r="A97" s="57" t="str">
        <f t="shared" si="3"/>
        <v>11.</v>
      </c>
      <c r="B97" s="58" t="s">
        <v>61</v>
      </c>
      <c r="C97" s="59">
        <v>87</v>
      </c>
      <c r="D97" s="60" t="s">
        <v>60</v>
      </c>
      <c r="E97" s="61"/>
      <c r="F97" s="62"/>
      <c r="G97" s="55" t="str">
        <f t="shared" si="2"/>
        <v/>
      </c>
      <c r="H97" s="63"/>
    </row>
    <row r="98" spans="1:8" x14ac:dyDescent="0.2">
      <c r="A98" s="57" t="str">
        <f t="shared" si="3"/>
        <v>11.</v>
      </c>
      <c r="B98" s="58" t="s">
        <v>61</v>
      </c>
      <c r="C98" s="59">
        <v>88</v>
      </c>
      <c r="D98" s="60" t="s">
        <v>60</v>
      </c>
      <c r="E98" s="61"/>
      <c r="F98" s="62"/>
      <c r="G98" s="55" t="str">
        <f t="shared" si="2"/>
        <v/>
      </c>
      <c r="H98" s="63"/>
    </row>
    <row r="99" spans="1:8" x14ac:dyDescent="0.2">
      <c r="A99" s="57" t="str">
        <f t="shared" si="3"/>
        <v>11.</v>
      </c>
      <c r="B99" s="58" t="s">
        <v>61</v>
      </c>
      <c r="C99" s="59">
        <v>89</v>
      </c>
      <c r="D99" s="60" t="s">
        <v>60</v>
      </c>
      <c r="E99" s="61"/>
      <c r="F99" s="62"/>
      <c r="G99" s="55" t="str">
        <f t="shared" si="2"/>
        <v/>
      </c>
      <c r="H99" s="63"/>
    </row>
    <row r="100" spans="1:8" x14ac:dyDescent="0.2">
      <c r="A100" s="57" t="str">
        <f t="shared" si="3"/>
        <v>11.</v>
      </c>
      <c r="B100" s="58" t="s">
        <v>61</v>
      </c>
      <c r="C100" s="59">
        <v>90</v>
      </c>
      <c r="D100" s="60" t="s">
        <v>60</v>
      </c>
      <c r="E100" s="61"/>
      <c r="F100" s="62"/>
      <c r="G100" s="55" t="str">
        <f t="shared" si="2"/>
        <v/>
      </c>
      <c r="H100" s="63"/>
    </row>
    <row r="101" spans="1:8" x14ac:dyDescent="0.2">
      <c r="A101" s="57" t="str">
        <f t="shared" si="3"/>
        <v>11.</v>
      </c>
      <c r="B101" s="58" t="s">
        <v>61</v>
      </c>
      <c r="C101" s="59">
        <v>91</v>
      </c>
      <c r="D101" s="60" t="s">
        <v>60</v>
      </c>
      <c r="E101" s="61"/>
      <c r="F101" s="62"/>
      <c r="G101" s="55" t="str">
        <f t="shared" si="2"/>
        <v/>
      </c>
      <c r="H101" s="63"/>
    </row>
    <row r="102" spans="1:8" x14ac:dyDescent="0.2">
      <c r="A102" s="57" t="str">
        <f t="shared" si="3"/>
        <v>11.</v>
      </c>
      <c r="B102" s="58" t="s">
        <v>61</v>
      </c>
      <c r="C102" s="59">
        <v>92</v>
      </c>
      <c r="D102" s="60" t="s">
        <v>60</v>
      </c>
      <c r="E102" s="61"/>
      <c r="F102" s="62"/>
      <c r="G102" s="55" t="str">
        <f t="shared" si="2"/>
        <v/>
      </c>
      <c r="H102" s="63"/>
    </row>
    <row r="103" spans="1:8" x14ac:dyDescent="0.2">
      <c r="A103" s="57" t="str">
        <f t="shared" si="3"/>
        <v>11.</v>
      </c>
      <c r="B103" s="58" t="s">
        <v>61</v>
      </c>
      <c r="C103" s="59">
        <v>93</v>
      </c>
      <c r="D103" s="60" t="s">
        <v>60</v>
      </c>
      <c r="E103" s="61"/>
      <c r="F103" s="62"/>
      <c r="G103" s="55" t="str">
        <f t="shared" si="2"/>
        <v/>
      </c>
      <c r="H103" s="63"/>
    </row>
    <row r="104" spans="1:8" x14ac:dyDescent="0.2">
      <c r="A104" s="57" t="str">
        <f t="shared" si="3"/>
        <v>11.</v>
      </c>
      <c r="B104" s="58" t="s">
        <v>61</v>
      </c>
      <c r="C104" s="59">
        <v>94</v>
      </c>
      <c r="D104" s="60" t="s">
        <v>60</v>
      </c>
      <c r="E104" s="61"/>
      <c r="F104" s="62"/>
      <c r="G104" s="55" t="str">
        <f t="shared" si="2"/>
        <v/>
      </c>
      <c r="H104" s="63"/>
    </row>
    <row r="105" spans="1:8" x14ac:dyDescent="0.2">
      <c r="A105" s="57" t="str">
        <f t="shared" si="3"/>
        <v>11.</v>
      </c>
      <c r="B105" s="58" t="s">
        <v>61</v>
      </c>
      <c r="C105" s="59">
        <v>95</v>
      </c>
      <c r="D105" s="60" t="s">
        <v>60</v>
      </c>
      <c r="E105" s="61"/>
      <c r="F105" s="62"/>
      <c r="G105" s="55" t="str">
        <f t="shared" si="2"/>
        <v/>
      </c>
      <c r="H105" s="63"/>
    </row>
    <row r="106" spans="1:8" x14ac:dyDescent="0.2">
      <c r="A106" s="57" t="str">
        <f t="shared" si="3"/>
        <v>11.</v>
      </c>
      <c r="B106" s="58" t="s">
        <v>61</v>
      </c>
      <c r="C106" s="59">
        <v>96</v>
      </c>
      <c r="D106" s="60" t="s">
        <v>60</v>
      </c>
      <c r="E106" s="61"/>
      <c r="F106" s="62"/>
      <c r="G106" s="55" t="str">
        <f t="shared" si="2"/>
        <v/>
      </c>
      <c r="H106" s="63"/>
    </row>
    <row r="107" spans="1:8" x14ac:dyDescent="0.2">
      <c r="A107" s="57" t="str">
        <f t="shared" si="3"/>
        <v>11.</v>
      </c>
      <c r="B107" s="58" t="s">
        <v>61</v>
      </c>
      <c r="C107" s="59">
        <v>97</v>
      </c>
      <c r="D107" s="60" t="s">
        <v>60</v>
      </c>
      <c r="E107" s="61"/>
      <c r="F107" s="62"/>
      <c r="G107" s="55" t="str">
        <f t="shared" si="2"/>
        <v/>
      </c>
      <c r="H107" s="63"/>
    </row>
    <row r="108" spans="1:8" x14ac:dyDescent="0.2">
      <c r="A108" s="57" t="str">
        <f t="shared" si="3"/>
        <v>11.</v>
      </c>
      <c r="B108" s="58" t="s">
        <v>61</v>
      </c>
      <c r="C108" s="59">
        <v>98</v>
      </c>
      <c r="D108" s="60" t="s">
        <v>60</v>
      </c>
      <c r="E108" s="61"/>
      <c r="F108" s="62"/>
      <c r="G108" s="55" t="str">
        <f t="shared" si="2"/>
        <v/>
      </c>
      <c r="H108" s="63"/>
    </row>
    <row r="109" spans="1:8" x14ac:dyDescent="0.2">
      <c r="A109" s="57" t="str">
        <f t="shared" si="3"/>
        <v>11.</v>
      </c>
      <c r="B109" s="58" t="s">
        <v>61</v>
      </c>
      <c r="C109" s="59">
        <v>99</v>
      </c>
      <c r="D109" s="60" t="s">
        <v>60</v>
      </c>
      <c r="E109" s="61"/>
      <c r="F109" s="62"/>
      <c r="G109" s="55" t="str">
        <f t="shared" si="2"/>
        <v/>
      </c>
      <c r="H109" s="63"/>
    </row>
    <row r="110" spans="1:8" x14ac:dyDescent="0.2">
      <c r="A110" s="57" t="str">
        <f t="shared" si="3"/>
        <v>11.</v>
      </c>
      <c r="B110" s="58" t="s">
        <v>61</v>
      </c>
      <c r="C110" s="59">
        <v>100</v>
      </c>
      <c r="D110" s="60" t="s">
        <v>60</v>
      </c>
      <c r="E110" s="61"/>
      <c r="F110" s="62"/>
      <c r="G110" s="55" t="str">
        <f t="shared" si="2"/>
        <v/>
      </c>
      <c r="H110" s="63"/>
    </row>
    <row r="111" spans="1:8" x14ac:dyDescent="0.2">
      <c r="A111" s="64"/>
      <c r="B111" s="64"/>
      <c r="C111" s="64"/>
      <c r="D111" s="64"/>
      <c r="E111" s="65"/>
      <c r="F111" s="65"/>
      <c r="G111" s="65"/>
      <c r="H111" s="66"/>
    </row>
  </sheetData>
  <sheetProtection algorithmName="SHA-512" hashValue="c/1cuLqB5/xI6ABNA5S58w2avqTyfRkQFZ9OzpsetkcZVYh3dZ3VP/cfANRjGzBRXBbrLkXUtMlD/cEbqTARkA==" saltValue="8++zdmgRHiDB91APZr4bfA==" spinCount="100000" sheet="1" objects="1" scenarios="1"/>
  <mergeCells count="4">
    <mergeCell ref="A1:A3"/>
    <mergeCell ref="B1:B3"/>
    <mergeCell ref="C1:C3"/>
    <mergeCell ref="D1:D3"/>
  </mergeCells>
  <conditionalFormatting sqref="G7:G8">
    <cfRule type="expression" dxfId="2" priority="1">
      <formula>$G$7="ROZPOČET OK"</formula>
    </cfRule>
    <cfRule type="expression" dxfId="1" priority="2">
      <formula>$G$7="KRÁCENÍ ZPŮSOBILÝCH VÝDAJŮ"</formula>
    </cfRule>
  </conditionalFormatting>
  <conditionalFormatting sqref="G4:G6">
    <cfRule type="expression" dxfId="0" priority="3">
      <formula>#REF!&lt;&gt;$H$3</formula>
    </cfRule>
  </conditionalFormatting>
  <dataValidations disablePrompts="1" count="1">
    <dataValidation type="list" allowBlank="1" showInputMessage="1" showErrorMessage="1" sqref="H11:H110">
      <formula1>"výrobní,nevýrobní"</formula1>
    </dataValidation>
  </dataValidations>
  <pageMargins left="0.7" right="0.7" top="0.78740157499999996" bottom="0.78740157499999996" header="0.3" footer="0.3"/>
  <pageSetup paperSize="8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27"/>
  <sheetViews>
    <sheetView showGridLines="0"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ColWidth="12.140625" defaultRowHeight="15" outlineLevelCol="1" x14ac:dyDescent="0.25"/>
  <cols>
    <col min="1" max="1" width="7.5703125" style="34" bestFit="1" customWidth="1"/>
    <col min="2" max="2" width="77.28515625" style="35" bestFit="1" customWidth="1"/>
    <col min="3" max="3" width="49" style="35" bestFit="1" customWidth="1"/>
    <col min="4" max="4" width="75.28515625" style="35" customWidth="1" outlineLevel="1"/>
    <col min="5" max="5" width="18.42578125" style="35" customWidth="1" outlineLevel="1"/>
    <col min="6" max="6" width="4.140625" style="35" customWidth="1" outlineLevel="1"/>
    <col min="7" max="7" width="5.7109375" style="35" customWidth="1" outlineLevel="1"/>
    <col min="8" max="8" width="6.28515625" style="35" customWidth="1" outlineLevel="1"/>
    <col min="9" max="9" width="6.5703125" style="35" customWidth="1" outlineLevel="1"/>
    <col min="10" max="10" width="33.85546875" style="36" bestFit="1" customWidth="1"/>
    <col min="11" max="12" width="7.140625" style="36" customWidth="1"/>
    <col min="13" max="13" width="7.7109375" style="36" bestFit="1" customWidth="1"/>
    <col min="14" max="14" width="2.28515625" style="36" customWidth="1"/>
    <col min="15" max="15" width="3.5703125" style="36" bestFit="1" customWidth="1"/>
    <col min="16" max="16" width="21.42578125" style="36" customWidth="1"/>
    <col min="17" max="22" width="6.85546875" style="36" hidden="1" customWidth="1" outlineLevel="1"/>
    <col min="23" max="23" width="11.85546875" style="36" hidden="1" customWidth="1" outlineLevel="1"/>
    <col min="24" max="25" width="9.42578125" style="36" hidden="1" customWidth="1" outlineLevel="1"/>
    <col min="26" max="27" width="4.42578125" style="254" hidden="1" customWidth="1" outlineLevel="1"/>
    <col min="28" max="28" width="3.5703125" style="254" hidden="1" customWidth="1" outlineLevel="1"/>
    <col min="29" max="29" width="14.140625" style="254" customWidth="1" collapsed="1"/>
    <col min="30" max="30" width="6.5703125" style="254" bestFit="1" customWidth="1"/>
    <col min="31" max="31" width="8.85546875" style="33" customWidth="1"/>
    <col min="32" max="33" width="7.140625" style="33" customWidth="1"/>
    <col min="34" max="34" width="10.42578125" style="33" customWidth="1"/>
    <col min="35" max="35" width="6.5703125" style="33" bestFit="1" customWidth="1"/>
    <col min="36" max="36" width="2.140625" style="33" bestFit="1" customWidth="1"/>
    <col min="37" max="37" width="2.7109375" style="33" bestFit="1" customWidth="1"/>
    <col min="38" max="38" width="1.85546875" style="33" bestFit="1" customWidth="1"/>
    <col min="39" max="39" width="3.5703125" style="33" bestFit="1" customWidth="1"/>
    <col min="40" max="40" width="1.85546875" style="33" bestFit="1" customWidth="1"/>
    <col min="41" max="41" width="3.5703125" style="33" bestFit="1" customWidth="1"/>
    <col min="42" max="42" width="4.42578125" style="33" bestFit="1" customWidth="1"/>
    <col min="43" max="16384" width="12.140625" style="33"/>
  </cols>
  <sheetData>
    <row r="1" spans="1:33" s="31" customFormat="1" ht="23.25" x14ac:dyDescent="0.2">
      <c r="A1" s="357" t="s">
        <v>310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9"/>
    </row>
    <row r="2" spans="1:33" s="31" customFormat="1" ht="24" thickBot="1" x14ac:dyDescent="0.25">
      <c r="A2" s="366" t="s">
        <v>311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8"/>
    </row>
    <row r="3" spans="1:33" s="31" customFormat="1" ht="15" customHeight="1" x14ac:dyDescent="0.2">
      <c r="A3" s="385" t="s">
        <v>21</v>
      </c>
      <c r="B3" s="386"/>
      <c r="C3" s="387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8"/>
      <c r="AD3" s="339"/>
    </row>
    <row r="4" spans="1:33" s="31" customFormat="1" ht="16.5" thickBot="1" x14ac:dyDescent="0.25">
      <c r="A4" s="276"/>
      <c r="B4" s="277" t="s">
        <v>22</v>
      </c>
      <c r="C4" s="389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7"/>
    </row>
    <row r="5" spans="1:33" s="192" customFormat="1" ht="15.75" x14ac:dyDescent="0.25">
      <c r="A5" s="205"/>
      <c r="B5" s="280"/>
      <c r="C5" s="206"/>
      <c r="D5" s="206"/>
      <c r="E5" s="206"/>
      <c r="F5" s="206"/>
      <c r="G5" s="206"/>
      <c r="H5" s="206"/>
      <c r="I5" s="206"/>
      <c r="J5" s="206" t="s">
        <v>300</v>
      </c>
      <c r="K5" s="393" t="s">
        <v>290</v>
      </c>
      <c r="L5" s="394"/>
      <c r="M5" s="394"/>
      <c r="N5" s="395"/>
      <c r="O5" s="393" t="s">
        <v>290</v>
      </c>
      <c r="P5" s="394"/>
      <c r="Q5" s="325"/>
      <c r="R5" s="279"/>
      <c r="S5" s="279"/>
      <c r="T5" s="279"/>
      <c r="U5" s="279"/>
      <c r="V5" s="279"/>
      <c r="W5" s="279"/>
      <c r="X5" s="279"/>
      <c r="Y5" s="279"/>
      <c r="Z5" s="250"/>
      <c r="AA5" s="250"/>
      <c r="AB5" s="250"/>
      <c r="AC5" s="391" t="s">
        <v>290</v>
      </c>
      <c r="AD5" s="392"/>
    </row>
    <row r="6" spans="1:33" s="192" customFormat="1" ht="15.75" x14ac:dyDescent="0.25">
      <c r="A6" s="203"/>
      <c r="B6" s="282" t="s">
        <v>303</v>
      </c>
      <c r="C6" s="201"/>
      <c r="D6" s="201"/>
      <c r="E6" s="201"/>
      <c r="F6" s="201"/>
      <c r="G6" s="201"/>
      <c r="H6" s="201"/>
      <c r="I6" s="201"/>
      <c r="J6" s="201" t="s">
        <v>299</v>
      </c>
      <c r="K6" s="419" t="s">
        <v>299</v>
      </c>
      <c r="L6" s="420"/>
      <c r="M6" s="420"/>
      <c r="N6" s="421"/>
      <c r="O6" s="419" t="s">
        <v>299</v>
      </c>
      <c r="P6" s="420"/>
      <c r="Q6" s="326"/>
      <c r="R6" s="281"/>
      <c r="S6" s="281"/>
      <c r="T6" s="281"/>
      <c r="U6" s="281"/>
      <c r="V6" s="281"/>
      <c r="W6" s="281"/>
      <c r="X6" s="281"/>
      <c r="Y6" s="281"/>
      <c r="Z6" s="251"/>
      <c r="AA6" s="251"/>
      <c r="AB6" s="251"/>
      <c r="AC6" s="416" t="s">
        <v>301</v>
      </c>
      <c r="AD6" s="417"/>
    </row>
    <row r="7" spans="1:33" s="192" customFormat="1" ht="16.5" thickBot="1" x14ac:dyDescent="0.3">
      <c r="A7" s="204"/>
      <c r="B7" s="284"/>
      <c r="C7" s="202"/>
      <c r="D7" s="202"/>
      <c r="E7" s="202"/>
      <c r="F7" s="202"/>
      <c r="G7" s="202"/>
      <c r="H7" s="202"/>
      <c r="I7" s="202"/>
      <c r="J7" s="202" t="s">
        <v>289</v>
      </c>
      <c r="K7" s="398" t="s">
        <v>1</v>
      </c>
      <c r="L7" s="399"/>
      <c r="M7" s="399"/>
      <c r="N7" s="400"/>
      <c r="O7" s="398" t="s">
        <v>2</v>
      </c>
      <c r="P7" s="399"/>
      <c r="Q7" s="327"/>
      <c r="R7" s="283"/>
      <c r="S7" s="283"/>
      <c r="T7" s="283"/>
      <c r="U7" s="283"/>
      <c r="V7" s="283"/>
      <c r="W7" s="283"/>
      <c r="X7" s="283"/>
      <c r="Y7" s="283"/>
      <c r="Z7" s="252"/>
      <c r="AA7" s="252"/>
      <c r="AB7" s="252"/>
      <c r="AC7" s="412" t="s">
        <v>302</v>
      </c>
      <c r="AD7" s="413"/>
    </row>
    <row r="8" spans="1:33" s="191" customFormat="1" ht="16.5" thickBot="1" x14ac:dyDescent="0.3">
      <c r="A8" s="222"/>
      <c r="B8" s="286" t="str">
        <f>IF(I21=2,D21,IF(I22=3,D22,"NESPRÁVNĚ"))</f>
        <v>Vyhověl</v>
      </c>
      <c r="C8" s="223"/>
      <c r="D8" s="224"/>
      <c r="E8" s="224"/>
      <c r="F8" s="224"/>
      <c r="G8" s="224"/>
      <c r="H8" s="224"/>
      <c r="I8" s="224"/>
      <c r="J8" s="225">
        <v>100</v>
      </c>
      <c r="K8" s="410">
        <f>SUBTOTAL(9,K10:N19)</f>
        <v>25.68</v>
      </c>
      <c r="L8" s="411"/>
      <c r="M8" s="411"/>
      <c r="N8" s="418"/>
      <c r="O8" s="410">
        <f>SUBTOTAL(9,O10:P19)</f>
        <v>30.667000000000002</v>
      </c>
      <c r="P8" s="411"/>
      <c r="Q8" s="328"/>
      <c r="R8" s="267"/>
      <c r="S8" s="267"/>
      <c r="T8" s="267"/>
      <c r="U8" s="267"/>
      <c r="V8" s="267"/>
      <c r="W8" s="258"/>
      <c r="X8" s="258"/>
      <c r="Y8" s="258"/>
      <c r="Z8" s="257"/>
      <c r="AA8" s="257"/>
      <c r="AB8" s="257"/>
      <c r="AC8" s="414">
        <f>SUBTOTAL(9,AC10:AD19)</f>
        <v>50</v>
      </c>
      <c r="AD8" s="415"/>
      <c r="AE8" s="190"/>
    </row>
    <row r="9" spans="1:33" s="32" customFormat="1" ht="15.75" x14ac:dyDescent="0.25">
      <c r="A9" s="226"/>
      <c r="B9" s="228" t="s">
        <v>37</v>
      </c>
      <c r="C9" s="227" t="s">
        <v>38</v>
      </c>
      <c r="D9" s="227"/>
      <c r="E9" s="227"/>
      <c r="F9" s="227"/>
      <c r="G9" s="227"/>
      <c r="H9" s="227"/>
      <c r="I9" s="227"/>
      <c r="J9" s="227" t="s">
        <v>23</v>
      </c>
      <c r="K9" s="402" t="s">
        <v>24</v>
      </c>
      <c r="L9" s="403"/>
      <c r="M9" s="403"/>
      <c r="N9" s="404"/>
      <c r="O9" s="405" t="s">
        <v>25</v>
      </c>
      <c r="P9" s="406"/>
      <c r="Q9" s="329" t="s">
        <v>36</v>
      </c>
      <c r="R9" s="268" t="s">
        <v>30</v>
      </c>
      <c r="S9" s="268" t="s">
        <v>29</v>
      </c>
      <c r="T9" s="452" t="s">
        <v>35</v>
      </c>
      <c r="U9" s="452" t="s">
        <v>36</v>
      </c>
      <c r="V9" s="268" t="s">
        <v>35</v>
      </c>
      <c r="W9" s="272"/>
      <c r="X9" s="264"/>
      <c r="Y9" s="273"/>
      <c r="Z9" s="259">
        <v>0</v>
      </c>
      <c r="AA9" s="260">
        <v>5</v>
      </c>
      <c r="AB9" s="260">
        <v>10</v>
      </c>
      <c r="AC9" s="396" t="s">
        <v>312</v>
      </c>
      <c r="AD9" s="397"/>
    </row>
    <row r="10" spans="1:33" ht="18.75" x14ac:dyDescent="0.25">
      <c r="A10" s="246" t="str">
        <f>'01'!$G$2</f>
        <v>1.</v>
      </c>
      <c r="B10" s="210" t="str">
        <f>'01'!$H$2</f>
        <v>Datová integrace – plánování a řízení výroby</v>
      </c>
      <c r="C10" s="187" t="str">
        <f>'01'!$G$1</f>
        <v>Integrační vrstva - plánování výroby</v>
      </c>
      <c r="D10" s="210" t="str">
        <f>IF(E10&lt;&gt;"",E10,IF(F10&lt;&gt;"",F10,'01'!$H$2))</f>
        <v>Datová integrace – plánování a řízení výroby</v>
      </c>
      <c r="E10" s="209" t="str">
        <f>IF('01'!$H$3&lt;&gt;'01'!$H$2,'01'!$H$3,"")</f>
        <v/>
      </c>
      <c r="F10" s="209" t="str">
        <f>IF('01'!$H$4&lt;&gt;'01'!$H$2,'01'!$H$4,"")</f>
        <v/>
      </c>
      <c r="G10" s="188"/>
      <c r="H10" s="188"/>
      <c r="I10" s="188"/>
      <c r="J10" s="193">
        <f>'01'!$I$8</f>
        <v>14</v>
      </c>
      <c r="K10" s="407">
        <f>ROUND('01'!$I$3,2)</f>
        <v>4.5</v>
      </c>
      <c r="L10" s="407"/>
      <c r="M10" s="407"/>
      <c r="N10" s="407"/>
      <c r="O10" s="453">
        <f>ROUND('01'!$I$4,3)</f>
        <v>5</v>
      </c>
      <c r="P10" s="454"/>
      <c r="Q10" s="330">
        <v>0</v>
      </c>
      <c r="R10" s="269">
        <v>1</v>
      </c>
      <c r="S10" s="270">
        <f>R10</f>
        <v>1</v>
      </c>
      <c r="T10" s="269">
        <v>5</v>
      </c>
      <c r="U10" s="270">
        <f>T10</f>
        <v>5</v>
      </c>
      <c r="V10" s="270">
        <f>J10</f>
        <v>14</v>
      </c>
      <c r="W10" s="274">
        <f t="shared" ref="W10:W19" si="0">IF(AND($O10&lt;Q10,$O10&lt;R10),1,0)</f>
        <v>0</v>
      </c>
      <c r="X10" s="263">
        <f>IF(AND($O10&gt;=S10,$O10&lt;=T10),1,0)</f>
        <v>1</v>
      </c>
      <c r="Y10" s="275">
        <f>IF(AND($O10&gt;U10,$O10&lt;=V10),1,0)</f>
        <v>0</v>
      </c>
      <c r="Z10" s="261">
        <f>Z9</f>
        <v>0</v>
      </c>
      <c r="AA10" s="262">
        <f>AA9</f>
        <v>5</v>
      </c>
      <c r="AB10" s="262">
        <f>AB9</f>
        <v>10</v>
      </c>
      <c r="AC10" s="383">
        <f>(W10*Z10)+(X10*AA10)+(Y10*AB10)</f>
        <v>5</v>
      </c>
      <c r="AD10" s="384"/>
      <c r="AG10" s="352"/>
    </row>
    <row r="11" spans="1:33" ht="18.75" x14ac:dyDescent="0.25">
      <c r="A11" s="246" t="str">
        <f>'02'!$G$2</f>
        <v>2.</v>
      </c>
      <c r="B11" s="210" t="str">
        <f>'02'!$H$2</f>
        <v>Datová integrace – sledování stavu strojů, zakázek 
a výkonu operátorů</v>
      </c>
      <c r="C11" s="187" t="str">
        <f>'02'!$G$1</f>
        <v>Integrační vrstva - výrobní zdroje</v>
      </c>
      <c r="D11" s="210" t="str">
        <f>IF(AF11&lt;&gt;"",AF11,IF(AG11&lt;&gt;"",AG11,'02'!$H$2))</f>
        <v>Datová integrace – sledování stavu strojů, zakázek 
a výkonu operátorů</v>
      </c>
      <c r="E11" s="209" t="str">
        <f>IF('02'!$H$3&lt;&gt;'02'!$H$2,'02'!$H$3,"")</f>
        <v/>
      </c>
      <c r="F11" s="209" t="str">
        <f>IF('02'!$H$4&lt;&gt;'02'!$H$2,'02'!$H$4,"")</f>
        <v/>
      </c>
      <c r="G11" s="188"/>
      <c r="H11" s="188"/>
      <c r="I11" s="188"/>
      <c r="J11" s="193">
        <f>'02'!$I$8</f>
        <v>12</v>
      </c>
      <c r="K11" s="373">
        <f>ROUND('02'!$I$3,2)</f>
        <v>3.17</v>
      </c>
      <c r="L11" s="373"/>
      <c r="M11" s="373"/>
      <c r="N11" s="373"/>
      <c r="O11" s="375">
        <f>ROUND('02'!$I$4,3)</f>
        <v>7</v>
      </c>
      <c r="P11" s="376"/>
      <c r="Q11" s="330">
        <v>0</v>
      </c>
      <c r="R11" s="269">
        <v>4</v>
      </c>
      <c r="S11" s="270">
        <f t="shared" ref="S11:S19" si="1">R11</f>
        <v>4</v>
      </c>
      <c r="T11" s="269">
        <v>7</v>
      </c>
      <c r="U11" s="270">
        <f t="shared" ref="U11:U19" si="2">T11</f>
        <v>7</v>
      </c>
      <c r="V11" s="270">
        <f t="shared" ref="V11:V19" si="3">J11</f>
        <v>12</v>
      </c>
      <c r="W11" s="274">
        <f t="shared" ref="W11:W19" si="4">IF(AND($O11&lt;Q11,$O11&lt;R11),1,0)</f>
        <v>0</v>
      </c>
      <c r="X11" s="263">
        <f t="shared" ref="X11:X19" si="5">IF(AND($O11&gt;=S11,$O11&lt;=T11),1,0)</f>
        <v>1</v>
      </c>
      <c r="Y11" s="275">
        <f t="shared" ref="Y11:Y19" si="6">IF(AND($O11&gt;U11,$O11&lt;=V11),1,0)</f>
        <v>0</v>
      </c>
      <c r="Z11" s="261">
        <f t="shared" ref="Z11:Z19" si="7">Z10</f>
        <v>0</v>
      </c>
      <c r="AA11" s="262">
        <f t="shared" ref="AA11:AA19" si="8">AA10</f>
        <v>5</v>
      </c>
      <c r="AB11" s="262">
        <f t="shared" ref="AB11:AB19" si="9">AB10</f>
        <v>10</v>
      </c>
      <c r="AC11" s="383">
        <f t="shared" ref="AC11:AC19" si="10">(W11*Z11)+(X11*AA11)+(Y11*AB11)</f>
        <v>5</v>
      </c>
      <c r="AD11" s="384"/>
    </row>
    <row r="12" spans="1:33" ht="18.75" x14ac:dyDescent="0.25">
      <c r="A12" s="246" t="str">
        <f>'03'!$G$2</f>
        <v>3.</v>
      </c>
      <c r="B12" s="210" t="str">
        <f>'03'!$H$2</f>
        <v>Digitální dvojče, rozšířená realita, virtuální realita
– vývoj a konstrukce výrobku</v>
      </c>
      <c r="C12" s="187" t="str">
        <f>'03'!$G$1</f>
        <v>Integrační vrstva  - CAD/CAM</v>
      </c>
      <c r="D12" s="210" t="str">
        <f>IF(AF12&lt;&gt;"",AF12,IF(AG12&lt;&gt;"",AG12,'03'!$H$2))</f>
        <v>Digitální dvojče, rozšířená realita, virtuální realita
– vývoj a konstrukce výrobku</v>
      </c>
      <c r="E12" s="209" t="str">
        <f>IF('03'!$H$3&lt;&gt;'03'!$H$2,'03'!$H$3,"")</f>
        <v/>
      </c>
      <c r="F12" s="209" t="str">
        <f>IF('03'!$H$4&lt;&gt;'03'!$H$2,'03'!$H$4,"")</f>
        <v/>
      </c>
      <c r="G12" s="188"/>
      <c r="H12" s="188"/>
      <c r="I12" s="188"/>
      <c r="J12" s="193">
        <f>'03'!$I$8</f>
        <v>12</v>
      </c>
      <c r="K12" s="373">
        <f>ROUND('03'!$I$3,2)</f>
        <v>2.67</v>
      </c>
      <c r="L12" s="373"/>
      <c r="M12" s="373"/>
      <c r="N12" s="373"/>
      <c r="O12" s="375">
        <f>ROUND('03'!$I$4,3)</f>
        <v>3.6669999999999998</v>
      </c>
      <c r="P12" s="376"/>
      <c r="Q12" s="330">
        <v>0</v>
      </c>
      <c r="R12" s="269">
        <v>1.33</v>
      </c>
      <c r="S12" s="270">
        <f t="shared" si="1"/>
        <v>1.33</v>
      </c>
      <c r="T12" s="269">
        <v>3.67</v>
      </c>
      <c r="U12" s="270">
        <f t="shared" si="2"/>
        <v>3.67</v>
      </c>
      <c r="V12" s="270">
        <f t="shared" si="3"/>
        <v>12</v>
      </c>
      <c r="W12" s="274">
        <f t="shared" si="4"/>
        <v>0</v>
      </c>
      <c r="X12" s="263">
        <f t="shared" si="5"/>
        <v>1</v>
      </c>
      <c r="Y12" s="275">
        <f t="shared" si="6"/>
        <v>0</v>
      </c>
      <c r="Z12" s="261">
        <f t="shared" si="7"/>
        <v>0</v>
      </c>
      <c r="AA12" s="262">
        <f t="shared" si="8"/>
        <v>5</v>
      </c>
      <c r="AB12" s="262">
        <f t="shared" si="9"/>
        <v>10</v>
      </c>
      <c r="AC12" s="383">
        <f t="shared" si="10"/>
        <v>5</v>
      </c>
      <c r="AD12" s="384"/>
    </row>
    <row r="13" spans="1:33" ht="18.75" x14ac:dyDescent="0.25">
      <c r="A13" s="246" t="str">
        <f>'04'!$G$2</f>
        <v>4.</v>
      </c>
      <c r="B13" s="210" t="str">
        <f>'04'!$H$2</f>
        <v>Aditivní výroba a 3D tisk</v>
      </c>
      <c r="C13" s="187" t="str">
        <f>'04'!$G$1</f>
        <v>Integrační vrstva  - Aditivní terchnologie</v>
      </c>
      <c r="D13" s="210" t="str">
        <f>IF(AF13&lt;&gt;"",AF13,IF(AG13&lt;&gt;"",AG13,'04'!$H$2))</f>
        <v>Aditivní výroba a 3D tisk</v>
      </c>
      <c r="E13" s="209" t="str">
        <f>IF('04'!$H$3&lt;&gt;'04'!$H$2,'04'!$H$3,"")</f>
        <v/>
      </c>
      <c r="F13" s="209" t="str">
        <f>IF('04'!$H$4&lt;&gt;'04'!$H$2,'04'!$H$4,"")</f>
        <v/>
      </c>
      <c r="G13" s="188"/>
      <c r="H13" s="188"/>
      <c r="I13" s="188"/>
      <c r="J13" s="193">
        <f>'04'!$I$8</f>
        <v>6</v>
      </c>
      <c r="K13" s="373">
        <f>ROUND('04'!$I$3,2)</f>
        <v>0</v>
      </c>
      <c r="L13" s="373"/>
      <c r="M13" s="373"/>
      <c r="N13" s="373"/>
      <c r="O13" s="375">
        <f>ROUND('04'!$I$4,3)</f>
        <v>1</v>
      </c>
      <c r="P13" s="376"/>
      <c r="Q13" s="330">
        <v>0</v>
      </c>
      <c r="R13" s="269">
        <v>1</v>
      </c>
      <c r="S13" s="270">
        <f t="shared" si="1"/>
        <v>1</v>
      </c>
      <c r="T13" s="269">
        <v>1</v>
      </c>
      <c r="U13" s="270">
        <f t="shared" si="2"/>
        <v>1</v>
      </c>
      <c r="V13" s="270">
        <f t="shared" si="3"/>
        <v>6</v>
      </c>
      <c r="W13" s="274">
        <f t="shared" si="4"/>
        <v>0</v>
      </c>
      <c r="X13" s="263">
        <f t="shared" si="5"/>
        <v>1</v>
      </c>
      <c r="Y13" s="275">
        <f t="shared" si="6"/>
        <v>0</v>
      </c>
      <c r="Z13" s="261">
        <f t="shared" si="7"/>
        <v>0</v>
      </c>
      <c r="AA13" s="262">
        <f t="shared" si="8"/>
        <v>5</v>
      </c>
      <c r="AB13" s="262">
        <f t="shared" si="9"/>
        <v>10</v>
      </c>
      <c r="AC13" s="383">
        <f t="shared" si="10"/>
        <v>5</v>
      </c>
      <c r="AD13" s="384"/>
    </row>
    <row r="14" spans="1:33" ht="18.75" x14ac:dyDescent="0.25">
      <c r="A14" s="246" t="str">
        <f>'05'!$G$2</f>
        <v>5.</v>
      </c>
      <c r="B14" s="210" t="str">
        <f>'05'!$H$2</f>
        <v>IoT – výrobek IoT a identifikace mezi prvky systému</v>
      </c>
      <c r="C14" s="187" t="str">
        <f>'05'!$G$1</f>
        <v>Integrační a fyzická vrstva - systémová</v>
      </c>
      <c r="D14" s="210" t="str">
        <f>IF(AF14&lt;&gt;"",AF14,IF(AG14&lt;&gt;"",AG14,'05'!$H$2))</f>
        <v>IoT – výrobek IoT a identifikace mezi prvky systému</v>
      </c>
      <c r="E14" s="209" t="str">
        <f>IF('05'!$H$3&lt;&gt;'05'!$H$2,'05'!$H$3,"")</f>
        <v/>
      </c>
      <c r="F14" s="209" t="str">
        <f>IF('05'!$H$4&lt;&gt;'05'!$H$2,'05'!$H$4,"")</f>
        <v/>
      </c>
      <c r="G14" s="188"/>
      <c r="H14" s="188"/>
      <c r="I14" s="188"/>
      <c r="J14" s="193">
        <f>'05'!$I$8</f>
        <v>18</v>
      </c>
      <c r="K14" s="373">
        <f>ROUND('05'!$I$3,2)</f>
        <v>6.17</v>
      </c>
      <c r="L14" s="373"/>
      <c r="M14" s="373"/>
      <c r="N14" s="373"/>
      <c r="O14" s="375">
        <f>ROUND('05'!$I$4,3)</f>
        <v>5</v>
      </c>
      <c r="P14" s="376"/>
      <c r="Q14" s="330">
        <v>0</v>
      </c>
      <c r="R14" s="269">
        <v>1</v>
      </c>
      <c r="S14" s="270">
        <f t="shared" si="1"/>
        <v>1</v>
      </c>
      <c r="T14" s="269">
        <v>5</v>
      </c>
      <c r="U14" s="270">
        <f t="shared" si="2"/>
        <v>5</v>
      </c>
      <c r="V14" s="270">
        <f t="shared" si="3"/>
        <v>18</v>
      </c>
      <c r="W14" s="274">
        <f t="shared" si="4"/>
        <v>0</v>
      </c>
      <c r="X14" s="263">
        <f t="shared" si="5"/>
        <v>1</v>
      </c>
      <c r="Y14" s="275">
        <f t="shared" si="6"/>
        <v>0</v>
      </c>
      <c r="Z14" s="261">
        <f t="shared" si="7"/>
        <v>0</v>
      </c>
      <c r="AA14" s="262">
        <f t="shared" si="8"/>
        <v>5</v>
      </c>
      <c r="AB14" s="262">
        <f t="shared" si="9"/>
        <v>10</v>
      </c>
      <c r="AC14" s="383">
        <f t="shared" si="10"/>
        <v>5</v>
      </c>
      <c r="AD14" s="384"/>
    </row>
    <row r="15" spans="1:33" ht="18.75" x14ac:dyDescent="0.25">
      <c r="A15" s="246" t="str">
        <f>'06'!$G$2</f>
        <v>6.</v>
      </c>
      <c r="B15" s="210" t="str">
        <f>'06'!$H$2</f>
        <v>IoT – prediktivní údržba</v>
      </c>
      <c r="C15" s="187" t="str">
        <f>'06'!$G$1</f>
        <v>Integrační a Informační vrstva - údržba a poruchy</v>
      </c>
      <c r="D15" s="210" t="str">
        <f>IF(AF15&lt;&gt;"",AF15,IF(AG15&lt;&gt;"",AG15,'06'!$H$2))</f>
        <v>IoT – prediktivní údržba</v>
      </c>
      <c r="E15" s="209" t="str">
        <f>IF('06'!$H$3&lt;&gt;'06'!$H$2,'06'!$H$3,"")</f>
        <v/>
      </c>
      <c r="F15" s="209" t="str">
        <f>IF('06'!$H$4&lt;&gt;'06'!$H$2,'06'!$H$4,"")</f>
        <v/>
      </c>
      <c r="G15" s="188"/>
      <c r="H15" s="188"/>
      <c r="I15" s="188"/>
      <c r="J15" s="193">
        <f>'06'!$I$8</f>
        <v>8</v>
      </c>
      <c r="K15" s="373">
        <f>ROUND('06'!$I$3,2)</f>
        <v>2</v>
      </c>
      <c r="L15" s="373"/>
      <c r="M15" s="373"/>
      <c r="N15" s="373"/>
      <c r="O15" s="375">
        <f>ROUND('06'!$I$4,3)</f>
        <v>2.5</v>
      </c>
      <c r="P15" s="376"/>
      <c r="Q15" s="330">
        <v>0</v>
      </c>
      <c r="R15" s="269">
        <v>1</v>
      </c>
      <c r="S15" s="270">
        <f t="shared" si="1"/>
        <v>1</v>
      </c>
      <c r="T15" s="269">
        <v>2.5</v>
      </c>
      <c r="U15" s="270">
        <f t="shared" si="2"/>
        <v>2.5</v>
      </c>
      <c r="V15" s="270">
        <f t="shared" si="3"/>
        <v>8</v>
      </c>
      <c r="W15" s="274">
        <f t="shared" si="4"/>
        <v>0</v>
      </c>
      <c r="X15" s="263">
        <f>IF(AND($O15&gt;=S15,$O15&lt;=T15),1,0)</f>
        <v>1</v>
      </c>
      <c r="Y15" s="275">
        <f>IF(AND($O15&gt;U15,$O15&lt;=V15),1,0)</f>
        <v>0</v>
      </c>
      <c r="Z15" s="261">
        <f t="shared" si="7"/>
        <v>0</v>
      </c>
      <c r="AA15" s="262">
        <f t="shared" si="8"/>
        <v>5</v>
      </c>
      <c r="AB15" s="262">
        <f t="shared" si="9"/>
        <v>10</v>
      </c>
      <c r="AC15" s="383">
        <f t="shared" si="10"/>
        <v>5</v>
      </c>
      <c r="AD15" s="384"/>
    </row>
    <row r="16" spans="1:33" ht="18.75" x14ac:dyDescent="0.25">
      <c r="A16" s="246" t="str">
        <f>'07'!$G$2</f>
        <v>7.</v>
      </c>
      <c r="B16" s="210" t="str">
        <f>'07'!$H$2</f>
        <v>Robotizace výrobních procesů a toků materiálu</v>
      </c>
      <c r="C16" s="187" t="str">
        <f>'07'!$G$1</f>
        <v>Integrační a fyzická vrstva - robotizace</v>
      </c>
      <c r="D16" s="210" t="str">
        <f>IF(AF16&lt;&gt;"",AF16,IF(AG16&lt;&gt;"",AG16,'07'!$H$2))</f>
        <v>Robotizace výrobních procesů a toků materiálu</v>
      </c>
      <c r="E16" s="209" t="str">
        <f>IF('07'!$H$3&lt;&gt;'07'!$H$2,'07'!$H$3,"")</f>
        <v/>
      </c>
      <c r="F16" s="209" t="str">
        <f>IF('07'!$H$4&lt;&gt;'07'!$H$2,'07'!$H$4,"")</f>
        <v/>
      </c>
      <c r="G16" s="188"/>
      <c r="H16" s="188"/>
      <c r="I16" s="188"/>
      <c r="J16" s="193">
        <f>'07'!$I$8</f>
        <v>12</v>
      </c>
      <c r="K16" s="373">
        <f>ROUND('07'!$I$3,2)</f>
        <v>4</v>
      </c>
      <c r="L16" s="373"/>
      <c r="M16" s="373"/>
      <c r="N16" s="373"/>
      <c r="O16" s="375">
        <f>ROUND('07'!$I$4,3)</f>
        <v>1.5</v>
      </c>
      <c r="P16" s="376"/>
      <c r="Q16" s="330">
        <v>0</v>
      </c>
      <c r="R16" s="269">
        <v>0.5</v>
      </c>
      <c r="S16" s="270">
        <f t="shared" si="1"/>
        <v>0.5</v>
      </c>
      <c r="T16" s="269">
        <v>1.5</v>
      </c>
      <c r="U16" s="270">
        <f t="shared" si="2"/>
        <v>1.5</v>
      </c>
      <c r="V16" s="270">
        <f t="shared" si="3"/>
        <v>12</v>
      </c>
      <c r="W16" s="274">
        <f t="shared" si="4"/>
        <v>0</v>
      </c>
      <c r="X16" s="263">
        <f t="shared" si="5"/>
        <v>1</v>
      </c>
      <c r="Y16" s="275">
        <f t="shared" si="6"/>
        <v>0</v>
      </c>
      <c r="Z16" s="261">
        <f t="shared" si="7"/>
        <v>0</v>
      </c>
      <c r="AA16" s="262">
        <f t="shared" si="8"/>
        <v>5</v>
      </c>
      <c r="AB16" s="262">
        <f t="shared" si="9"/>
        <v>10</v>
      </c>
      <c r="AC16" s="383">
        <f t="shared" si="10"/>
        <v>5</v>
      </c>
      <c r="AD16" s="384"/>
    </row>
    <row r="17" spans="1:30" ht="18.75" x14ac:dyDescent="0.25">
      <c r="A17" s="246" t="str">
        <f>'08'!$G$2</f>
        <v>8.</v>
      </c>
      <c r="B17" s="210" t="str">
        <f>'08'!$H$2</f>
        <v>Systémy využívající BigData</v>
      </c>
      <c r="C17" s="187" t="str">
        <f>'08'!$G$1</f>
        <v>Informační - BigData</v>
      </c>
      <c r="D17" s="210" t="str">
        <f>IF(AF17&lt;&gt;"",AF17,IF(AG17&lt;&gt;"",AG17,'08'!$H$2))</f>
        <v>Systémy využívající BigData</v>
      </c>
      <c r="E17" s="209" t="str">
        <f>IF('08'!$H$3&lt;&gt;'08'!$H$2,'08'!$H$3,"")</f>
        <v/>
      </c>
      <c r="F17" s="209" t="str">
        <f>IF('08'!$H$4&lt;&gt;'08'!$H$2,'08'!$H$4,"")</f>
        <v/>
      </c>
      <c r="G17" s="188"/>
      <c r="H17" s="188"/>
      <c r="I17" s="188"/>
      <c r="J17" s="193">
        <f>'08'!$I$8</f>
        <v>2</v>
      </c>
      <c r="K17" s="373">
        <f>ROUND('08'!$I$3,2)</f>
        <v>0.5</v>
      </c>
      <c r="L17" s="373"/>
      <c r="M17" s="373"/>
      <c r="N17" s="373"/>
      <c r="O17" s="375">
        <f>ROUND('08'!$I$4,3)</f>
        <v>1</v>
      </c>
      <c r="P17" s="376"/>
      <c r="Q17" s="330">
        <v>0</v>
      </c>
      <c r="R17" s="269">
        <v>0.5</v>
      </c>
      <c r="S17" s="270">
        <f t="shared" si="1"/>
        <v>0.5</v>
      </c>
      <c r="T17" s="269">
        <v>1</v>
      </c>
      <c r="U17" s="270">
        <f t="shared" si="2"/>
        <v>1</v>
      </c>
      <c r="V17" s="270">
        <f t="shared" si="3"/>
        <v>2</v>
      </c>
      <c r="W17" s="274">
        <f t="shared" si="4"/>
        <v>0</v>
      </c>
      <c r="X17" s="263">
        <f t="shared" si="5"/>
        <v>1</v>
      </c>
      <c r="Y17" s="275">
        <f t="shared" si="6"/>
        <v>0</v>
      </c>
      <c r="Z17" s="261">
        <f t="shared" si="7"/>
        <v>0</v>
      </c>
      <c r="AA17" s="262">
        <f t="shared" si="8"/>
        <v>5</v>
      </c>
      <c r="AB17" s="262">
        <f t="shared" si="9"/>
        <v>10</v>
      </c>
      <c r="AC17" s="383">
        <f t="shared" si="10"/>
        <v>5</v>
      </c>
      <c r="AD17" s="384"/>
    </row>
    <row r="18" spans="1:30" ht="18.75" x14ac:dyDescent="0.25">
      <c r="A18" s="246" t="str">
        <f>'09'!$G$2</f>
        <v>9.</v>
      </c>
      <c r="B18" s="210" t="str">
        <f>'09'!$H$2</f>
        <v>AI – Využití algoritmů umělé inteligence</v>
      </c>
      <c r="C18" s="187" t="str">
        <f>'09'!$G$1</f>
        <v>Informační - AI</v>
      </c>
      <c r="D18" s="210" t="str">
        <f>IF(AF18&lt;&gt;"",AF18,IF(AG18&lt;&gt;"",AG18,'09'!$H$2))</f>
        <v>AI – Využití algoritmů umělé inteligence</v>
      </c>
      <c r="E18" s="209" t="str">
        <f>IF('09'!$H$3&lt;&gt;'09'!$H$2,'09'!$H$3,"")</f>
        <v/>
      </c>
      <c r="F18" s="209" t="str">
        <f>IF('09'!$H$4&lt;&gt;'09'!$H$2,'09'!$H$4,"")</f>
        <v/>
      </c>
      <c r="G18" s="188"/>
      <c r="H18" s="188"/>
      <c r="I18" s="188"/>
      <c r="J18" s="193">
        <f>'09'!$I$8</f>
        <v>8</v>
      </c>
      <c r="K18" s="373">
        <f>ROUND('09'!$I$3,2)</f>
        <v>0</v>
      </c>
      <c r="L18" s="373"/>
      <c r="M18" s="373"/>
      <c r="N18" s="373"/>
      <c r="O18" s="375">
        <f>ROUND('09'!$I$4,3)</f>
        <v>2</v>
      </c>
      <c r="P18" s="376"/>
      <c r="Q18" s="330">
        <v>0</v>
      </c>
      <c r="R18" s="269">
        <v>1</v>
      </c>
      <c r="S18" s="270">
        <f t="shared" si="1"/>
        <v>1</v>
      </c>
      <c r="T18" s="269">
        <v>2</v>
      </c>
      <c r="U18" s="270">
        <f t="shared" si="2"/>
        <v>2</v>
      </c>
      <c r="V18" s="270">
        <f t="shared" si="3"/>
        <v>8</v>
      </c>
      <c r="W18" s="274">
        <f t="shared" si="4"/>
        <v>0</v>
      </c>
      <c r="X18" s="263">
        <f t="shared" si="5"/>
        <v>1</v>
      </c>
      <c r="Y18" s="275">
        <f t="shared" si="6"/>
        <v>0</v>
      </c>
      <c r="Z18" s="261">
        <f t="shared" si="7"/>
        <v>0</v>
      </c>
      <c r="AA18" s="262">
        <f t="shared" si="8"/>
        <v>5</v>
      </c>
      <c r="AB18" s="262">
        <f t="shared" si="9"/>
        <v>10</v>
      </c>
      <c r="AC18" s="383">
        <f t="shared" si="10"/>
        <v>5</v>
      </c>
      <c r="AD18" s="384"/>
    </row>
    <row r="19" spans="1:30" ht="19.5" thickBot="1" x14ac:dyDescent="0.3">
      <c r="A19" s="247" t="str">
        <f>'10'!$G$2</f>
        <v>10.</v>
      </c>
      <c r="B19" s="245" t="str">
        <f>'10'!$H$2</f>
        <v>Kybernetická bezpečnost</v>
      </c>
      <c r="C19" s="194" t="str">
        <f>'10'!$G$1</f>
        <v>Integrační a fyzická vrstva - Bezpečnost</v>
      </c>
      <c r="D19" s="211" t="str">
        <f>IF(AF19&lt;&gt;"",AF19,IF(AG19&lt;&gt;"",AG19,'10'!$H$2))</f>
        <v>Kybernetická bezpečnost</v>
      </c>
      <c r="E19" s="212" t="str">
        <f>IF('10'!$H$3&lt;&gt;'10'!$H$2,'10'!$H$3,"")</f>
        <v/>
      </c>
      <c r="F19" s="212" t="str">
        <f>IF('10'!$H$4&lt;&gt;'10'!$H$2,'10'!$H$4,"")</f>
        <v/>
      </c>
      <c r="G19" s="195"/>
      <c r="H19" s="195"/>
      <c r="I19" s="195"/>
      <c r="J19" s="196">
        <f>'10'!$I$8</f>
        <v>8</v>
      </c>
      <c r="K19" s="374">
        <f>ROUND('10'!$I$3,2)</f>
        <v>2.67</v>
      </c>
      <c r="L19" s="374"/>
      <c r="M19" s="374"/>
      <c r="N19" s="374"/>
      <c r="O19" s="408">
        <f>ROUND('10'!$I$4,3)</f>
        <v>2</v>
      </c>
      <c r="P19" s="409"/>
      <c r="Q19" s="331">
        <v>0</v>
      </c>
      <c r="R19" s="269">
        <v>1</v>
      </c>
      <c r="S19" s="270">
        <f t="shared" si="1"/>
        <v>1</v>
      </c>
      <c r="T19" s="269">
        <v>2</v>
      </c>
      <c r="U19" s="270">
        <f t="shared" si="2"/>
        <v>2</v>
      </c>
      <c r="V19" s="270">
        <f t="shared" si="3"/>
        <v>8</v>
      </c>
      <c r="W19" s="274">
        <f t="shared" si="4"/>
        <v>0</v>
      </c>
      <c r="X19" s="263">
        <f t="shared" si="5"/>
        <v>1</v>
      </c>
      <c r="Y19" s="275">
        <f t="shared" si="6"/>
        <v>0</v>
      </c>
      <c r="Z19" s="261">
        <f t="shared" si="7"/>
        <v>0</v>
      </c>
      <c r="AA19" s="262">
        <f t="shared" si="8"/>
        <v>5</v>
      </c>
      <c r="AB19" s="262">
        <f t="shared" si="9"/>
        <v>10</v>
      </c>
      <c r="AC19" s="422">
        <f t="shared" si="10"/>
        <v>5</v>
      </c>
      <c r="AD19" s="423"/>
    </row>
    <row r="20" spans="1:30" s="31" customFormat="1" ht="16.5" thickBot="1" x14ac:dyDescent="0.25">
      <c r="A20" s="299"/>
      <c r="B20" s="296"/>
      <c r="C20" s="321"/>
      <c r="D20" s="321"/>
      <c r="E20" s="321"/>
      <c r="F20" s="321"/>
      <c r="G20" s="321"/>
      <c r="H20" s="321"/>
      <c r="I20" s="321"/>
      <c r="J20" s="321"/>
      <c r="K20" s="377" t="s">
        <v>26</v>
      </c>
      <c r="L20" s="378"/>
      <c r="M20" s="378"/>
      <c r="N20" s="379"/>
      <c r="O20" s="377" t="s">
        <v>27</v>
      </c>
      <c r="P20" s="380"/>
      <c r="Q20" s="332"/>
      <c r="R20" s="285"/>
      <c r="S20" s="285"/>
      <c r="T20" s="285"/>
      <c r="U20" s="285"/>
      <c r="V20" s="285"/>
      <c r="W20" s="285"/>
      <c r="X20" s="285"/>
      <c r="Y20" s="285"/>
      <c r="Z20" s="253"/>
      <c r="AA20" s="253"/>
      <c r="AB20" s="253"/>
      <c r="AC20" s="381" t="s">
        <v>27</v>
      </c>
      <c r="AD20" s="382"/>
    </row>
    <row r="21" spans="1:30" s="31" customFormat="1" ht="16.5" thickBot="1" x14ac:dyDescent="0.3">
      <c r="A21" s="314"/>
      <c r="B21" s="315" t="s">
        <v>32</v>
      </c>
      <c r="C21" s="316" t="s">
        <v>28</v>
      </c>
      <c r="D21" s="303" t="str">
        <f>IF(AND($K$8&gt;=L21,$K$8&lt;M21),"NEVYHOVĚL - nesplněna podmínka požadovaného počtu bodů v oddílu B","Vyhověl")</f>
        <v>Vyhověl</v>
      </c>
      <c r="E21" s="304">
        <f>IF($K$8&gt;=L21,1,0)</f>
        <v>1</v>
      </c>
      <c r="F21" s="304">
        <f>IF($K$8&lt;M21,1,0)</f>
        <v>0</v>
      </c>
      <c r="G21" s="304">
        <f>IF($O$8&gt;=AD21,1,0)</f>
        <v>1</v>
      </c>
      <c r="H21" s="304"/>
      <c r="I21" s="304">
        <f t="shared" ref="I21:I22" si="11">E21+F21+G21+H21</f>
        <v>2</v>
      </c>
      <c r="J21" s="317"/>
      <c r="K21" s="318" t="s">
        <v>29</v>
      </c>
      <c r="L21" s="319">
        <v>0</v>
      </c>
      <c r="M21" s="320">
        <v>13</v>
      </c>
      <c r="N21" s="315" t="s">
        <v>30</v>
      </c>
      <c r="O21" s="341"/>
      <c r="P21" s="353" t="s">
        <v>31</v>
      </c>
      <c r="Q21" s="333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71" t="str">
        <f>IF(AC8&gt;=AD22,"Vyhověl","Nevyhověl")</f>
        <v>Vyhověl</v>
      </c>
      <c r="AD21" s="372"/>
    </row>
    <row r="22" spans="1:30" s="31" customFormat="1" ht="16.5" thickBot="1" x14ac:dyDescent="0.3">
      <c r="A22" s="305"/>
      <c r="B22" s="306" t="s">
        <v>34</v>
      </c>
      <c r="C22" s="307" t="s">
        <v>297</v>
      </c>
      <c r="D22" s="308" t="str">
        <f>IF(AND($K$8&gt;=L22,$K$8&lt;=M22,$O$8&gt;=AD22),"VYHOVĚL - přímý postup","Vyhověl")</f>
        <v>Vyhověl</v>
      </c>
      <c r="E22" s="309">
        <f>IF($K$8&gt;=L22,1,0)</f>
        <v>1</v>
      </c>
      <c r="F22" s="309">
        <f>IF($K$8&lt;=M22,1,0)</f>
        <v>1</v>
      </c>
      <c r="G22" s="309">
        <f>IF($AC$8&gt;=AD22,1,0)</f>
        <v>1</v>
      </c>
      <c r="H22" s="309"/>
      <c r="I22" s="309">
        <f t="shared" si="11"/>
        <v>3</v>
      </c>
      <c r="J22" s="310"/>
      <c r="K22" s="311" t="s">
        <v>29</v>
      </c>
      <c r="L22" s="312">
        <f>M21</f>
        <v>13</v>
      </c>
      <c r="M22" s="313">
        <v>100</v>
      </c>
      <c r="N22" s="306" t="s">
        <v>35</v>
      </c>
      <c r="O22" s="340" t="s">
        <v>33</v>
      </c>
      <c r="P22" s="354">
        <v>50</v>
      </c>
      <c r="Q22" s="334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05" t="s">
        <v>33</v>
      </c>
      <c r="AD22" s="324">
        <v>50</v>
      </c>
    </row>
    <row r="25" spans="1:30" x14ac:dyDescent="0.25">
      <c r="A25" s="197"/>
      <c r="B25" s="198"/>
      <c r="C25" s="199"/>
      <c r="D25" s="199"/>
      <c r="E25" s="199"/>
      <c r="F25" s="199"/>
      <c r="G25" s="199"/>
      <c r="H25" s="199"/>
      <c r="I25" s="199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55"/>
      <c r="AA25" s="255"/>
      <c r="AB25" s="255"/>
      <c r="AC25" s="255"/>
      <c r="AD25" s="255"/>
    </row>
    <row r="26" spans="1:30" x14ac:dyDescent="0.25">
      <c r="A26" s="33"/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  <c r="P26" s="401"/>
      <c r="Q26" s="271"/>
      <c r="R26" s="271"/>
      <c r="S26" s="271"/>
      <c r="T26" s="271"/>
      <c r="U26" s="271"/>
      <c r="V26" s="271"/>
      <c r="W26" s="266"/>
      <c r="X26" s="266"/>
      <c r="Y26" s="266"/>
      <c r="Z26" s="265"/>
      <c r="AA26" s="265"/>
      <c r="AB26" s="265"/>
      <c r="AC26" s="278"/>
      <c r="AD26" s="278"/>
    </row>
    <row r="27" spans="1:30" x14ac:dyDescent="0.25">
      <c r="A27" s="33"/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71"/>
      <c r="Q27" s="271"/>
      <c r="R27" s="271"/>
      <c r="S27" s="271"/>
      <c r="T27" s="271"/>
      <c r="U27" s="271"/>
      <c r="V27" s="271"/>
      <c r="W27" s="266"/>
      <c r="X27" s="266"/>
      <c r="Y27" s="266"/>
      <c r="Z27" s="265"/>
      <c r="AA27" s="265"/>
      <c r="AB27" s="265"/>
      <c r="AC27" s="256"/>
      <c r="AD27" s="256"/>
    </row>
  </sheetData>
  <sheetProtection algorithmName="SHA-512" hashValue="qJypXsFp8VFFknKqfIC5L8z8MXnfEMQ4FGiAsdVUdWsBXUashGDP2EtpEeUkF9EBqIjTgpWBV2PVWLZ+MJT6mw==" saltValue="jQClPVbD08K+WTtdHB/3UA==" spinCount="100000" sheet="1" objects="1" scenarios="1" formatCells="0"/>
  <mergeCells count="55">
    <mergeCell ref="AC17:AD17"/>
    <mergeCell ref="AC18:AD18"/>
    <mergeCell ref="AC19:AD19"/>
    <mergeCell ref="AC10:AD10"/>
    <mergeCell ref="AC11:AD11"/>
    <mergeCell ref="AC12:AD12"/>
    <mergeCell ref="AC13:AD13"/>
    <mergeCell ref="AC14:AD14"/>
    <mergeCell ref="O8:P8"/>
    <mergeCell ref="AC7:AD7"/>
    <mergeCell ref="AC8:AD8"/>
    <mergeCell ref="AC6:AD6"/>
    <mergeCell ref="K8:N8"/>
    <mergeCell ref="K6:N6"/>
    <mergeCell ref="O6:P6"/>
    <mergeCell ref="AC9:AD9"/>
    <mergeCell ref="K7:N7"/>
    <mergeCell ref="O7:P7"/>
    <mergeCell ref="B26:P26"/>
    <mergeCell ref="K9:N9"/>
    <mergeCell ref="O9:P9"/>
    <mergeCell ref="K10:N10"/>
    <mergeCell ref="K11:N11"/>
    <mergeCell ref="K12:N12"/>
    <mergeCell ref="K13:N13"/>
    <mergeCell ref="K14:N14"/>
    <mergeCell ref="K15:N15"/>
    <mergeCell ref="O17:P17"/>
    <mergeCell ref="O18:P18"/>
    <mergeCell ref="O19:P19"/>
    <mergeCell ref="O11:P11"/>
    <mergeCell ref="A3:B3"/>
    <mergeCell ref="C3:P3"/>
    <mergeCell ref="A1:AD1"/>
    <mergeCell ref="C4:P4"/>
    <mergeCell ref="AC5:AD5"/>
    <mergeCell ref="K5:N5"/>
    <mergeCell ref="O5:P5"/>
    <mergeCell ref="A2:AD2"/>
    <mergeCell ref="AC21:AD21"/>
    <mergeCell ref="K17:N17"/>
    <mergeCell ref="K18:N18"/>
    <mergeCell ref="K19:N19"/>
    <mergeCell ref="O10:P10"/>
    <mergeCell ref="O13:P13"/>
    <mergeCell ref="O14:P14"/>
    <mergeCell ref="O15:P15"/>
    <mergeCell ref="K20:N20"/>
    <mergeCell ref="O20:P20"/>
    <mergeCell ref="O16:P16"/>
    <mergeCell ref="O12:P12"/>
    <mergeCell ref="K16:N16"/>
    <mergeCell ref="AC20:AD20"/>
    <mergeCell ref="AC15:AD15"/>
    <mergeCell ref="AC16:AD16"/>
  </mergeCells>
  <conditionalFormatting sqref="A10">
    <cfRule type="expression" dxfId="171" priority="34">
      <formula>E10&lt;&gt;""</formula>
    </cfRule>
    <cfRule type="expression" dxfId="170" priority="35">
      <formula>F10&lt;&gt;""</formula>
    </cfRule>
  </conditionalFormatting>
  <conditionalFormatting sqref="A11:A19">
    <cfRule type="expression" dxfId="169" priority="6">
      <formula>E11&lt;&gt;""</formula>
    </cfRule>
    <cfRule type="expression" dxfId="168" priority="7">
      <formula>F11&lt;&gt;""</formula>
    </cfRule>
  </conditionalFormatting>
  <conditionalFormatting sqref="A8:R8 W8:AB8">
    <cfRule type="expression" dxfId="167" priority="5">
      <formula>$B$8&lt;&gt;"VYHOVĚL"</formula>
    </cfRule>
  </conditionalFormatting>
  <conditionalFormatting sqref="AC8:AD8">
    <cfRule type="expression" dxfId="166" priority="4">
      <formula>$B$8&lt;&gt;"VYHOVĚL"</formula>
    </cfRule>
  </conditionalFormatting>
  <conditionalFormatting sqref="U8:V8">
    <cfRule type="expression" dxfId="165" priority="3">
      <formula>$B$8&lt;&gt;"VYHOVĚL"</formula>
    </cfRule>
  </conditionalFormatting>
  <conditionalFormatting sqref="S8:T8">
    <cfRule type="expression" dxfId="164" priority="2">
      <formula>$B$8&lt;&gt;"VYHOVĚL"</formula>
    </cfRule>
  </conditionalFormatting>
  <conditionalFormatting sqref="AC21">
    <cfRule type="expression" dxfId="163" priority="1">
      <formula>$B$8&lt;&gt;"VYHOVĚL"</formula>
    </cfRule>
  </conditionalFormatting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zoomScale="85" zoomScaleNormal="85" workbookViewId="0">
      <pane xSplit="7" ySplit="9" topLeftCell="H10" activePane="bottomRight" state="frozen"/>
      <selection activeCell="G1" sqref="G1"/>
      <selection pane="topRight" activeCell="H1" sqref="H1"/>
      <selection pane="bottomLeft" activeCell="G10" sqref="G10"/>
      <selection pane="bottomRight" activeCell="H10" sqref="H10"/>
    </sheetView>
  </sheetViews>
  <sheetFormatPr defaultColWidth="9.140625" defaultRowHeight="15" outlineLevelRow="1" outlineLevelCol="1" x14ac:dyDescent="0.25"/>
  <cols>
    <col min="1" max="1" width="1.85546875" style="5" hidden="1" customWidth="1" outlineLevel="1"/>
    <col min="2" max="2" width="4" style="5" hidden="1" customWidth="1" outlineLevel="1"/>
    <col min="3" max="5" width="4" style="102" hidden="1" customWidth="1" outlineLevel="1"/>
    <col min="6" max="6" width="3.5703125" style="80" hidden="1" customWidth="1" outlineLevel="1"/>
    <col min="7" max="7" width="8.7109375" style="5" customWidth="1" collapsed="1"/>
    <col min="8" max="8" width="130.7109375" style="5" customWidth="1"/>
    <col min="9" max="10" width="15.7109375" style="5" customWidth="1"/>
    <col min="11" max="11" width="15.7109375" style="84" customWidth="1"/>
    <col min="12" max="12" width="15.7109375" style="5" customWidth="1"/>
    <col min="13" max="14" width="15.7109375" style="84" customWidth="1"/>
    <col min="15" max="16384" width="9.140625" style="5"/>
  </cols>
  <sheetData>
    <row r="1" spans="1:16" ht="15.75" thickBot="1" x14ac:dyDescent="0.3">
      <c r="A1" s="118"/>
      <c r="B1" s="118"/>
      <c r="C1" s="118"/>
      <c r="D1" s="118"/>
      <c r="E1" s="118"/>
      <c r="G1" s="430" t="s">
        <v>96</v>
      </c>
      <c r="H1" s="431"/>
      <c r="I1" s="431"/>
      <c r="J1" s="431"/>
      <c r="K1" s="431"/>
      <c r="L1" s="431"/>
      <c r="M1" s="431"/>
      <c r="N1" s="432"/>
    </row>
    <row r="2" spans="1:16" ht="32.25" thickBot="1" x14ac:dyDescent="0.3">
      <c r="A2" s="6"/>
      <c r="B2" s="6"/>
      <c r="C2" s="37"/>
      <c r="D2" s="37"/>
      <c r="E2" s="37"/>
      <c r="F2" s="37"/>
      <c r="G2" s="122" t="s">
        <v>61</v>
      </c>
      <c r="H2" s="123" t="s">
        <v>284</v>
      </c>
      <c r="I2" s="124">
        <f>I3+I4</f>
        <v>9.5</v>
      </c>
      <c r="J2" s="433" t="str">
        <f>"/    "&amp;I8&amp;" bodů"</f>
        <v>/    14 bodů</v>
      </c>
      <c r="K2" s="433"/>
      <c r="L2" s="433"/>
      <c r="M2" s="433"/>
      <c r="N2" s="434"/>
    </row>
    <row r="3" spans="1:16" ht="21" x14ac:dyDescent="0.25">
      <c r="A3" s="109"/>
      <c r="B3" s="109"/>
      <c r="C3" s="110"/>
      <c r="D3" s="110"/>
      <c r="E3" s="110"/>
      <c r="F3" s="110"/>
      <c r="G3" s="177" t="str">
        <f>"B "&amp;$G$2</f>
        <v>B 1.</v>
      </c>
      <c r="H3" s="178" t="str">
        <f>IF($J$8&lt;&gt;COUNTIF(I9:I111,2),"Počet odpovědí neodpovídá počtu otázek, prosím zkontrolujte!",$H$2)</f>
        <v>Datová integrace – plánování a řízení výroby</v>
      </c>
      <c r="I3" s="129">
        <f>K8</f>
        <v>4.5</v>
      </c>
      <c r="J3" s="207" t="str">
        <f>$J$2</f>
        <v>/    14 bodů</v>
      </c>
      <c r="K3" s="207"/>
      <c r="L3" s="207"/>
      <c r="M3" s="207"/>
      <c r="N3" s="208"/>
    </row>
    <row r="4" spans="1:16" ht="21.75" thickBot="1" x14ac:dyDescent="0.3">
      <c r="A4" s="113"/>
      <c r="B4" s="113"/>
      <c r="C4" s="114"/>
      <c r="D4" s="114"/>
      <c r="E4" s="114"/>
      <c r="F4" s="114"/>
      <c r="G4" s="175" t="str">
        <f>"C "&amp;$G$2</f>
        <v>C 1.</v>
      </c>
      <c r="H4" s="176" t="str">
        <f>IF($L$8&lt;&gt;COUNTIF(I9:I111,2),"Počet odpovědí neodpovídá počtu otázek, prosím zkontrolujte!",$H$2)</f>
        <v>Datová integrace – plánování a řízení výroby</v>
      </c>
      <c r="I4" s="141">
        <f>N8</f>
        <v>5</v>
      </c>
      <c r="J4" s="142" t="str">
        <f>$J$2</f>
        <v>/    14 bodů</v>
      </c>
      <c r="K4" s="143"/>
      <c r="L4" s="144"/>
      <c r="M4" s="145"/>
      <c r="N4" s="146"/>
    </row>
    <row r="5" spans="1:16" hidden="1" outlineLevel="1" x14ac:dyDescent="0.25">
      <c r="A5" s="71"/>
      <c r="B5" s="71"/>
      <c r="C5" s="92"/>
      <c r="D5" s="92"/>
      <c r="E5" s="92"/>
      <c r="F5" s="92"/>
      <c r="G5" s="19"/>
      <c r="H5" s="147"/>
      <c r="I5" s="148"/>
      <c r="J5" s="213" t="s">
        <v>292</v>
      </c>
      <c r="K5" s="213" t="s">
        <v>292</v>
      </c>
      <c r="L5" s="213" t="s">
        <v>293</v>
      </c>
      <c r="M5" s="213" t="s">
        <v>293</v>
      </c>
      <c r="N5" s="213" t="s">
        <v>294</v>
      </c>
    </row>
    <row r="6" spans="1:16" hidden="1" outlineLevel="1" x14ac:dyDescent="0.25">
      <c r="A6" s="11"/>
      <c r="B6" s="11"/>
      <c r="C6" s="93"/>
      <c r="D6" s="93"/>
      <c r="E6" s="93"/>
      <c r="F6" s="93"/>
      <c r="G6" s="20"/>
      <c r="H6" s="149"/>
      <c r="I6" s="150"/>
      <c r="J6" s="213" t="s">
        <v>295</v>
      </c>
      <c r="K6" s="213" t="s">
        <v>296</v>
      </c>
      <c r="L6" s="213" t="s">
        <v>295</v>
      </c>
      <c r="M6" s="213" t="s">
        <v>296</v>
      </c>
      <c r="N6" s="213" t="s">
        <v>296</v>
      </c>
    </row>
    <row r="7" spans="1:16" hidden="1" outlineLevel="1" x14ac:dyDescent="0.25">
      <c r="A7" s="11"/>
      <c r="B7" s="11"/>
      <c r="C7" s="93"/>
      <c r="D7" s="93"/>
      <c r="E7" s="93"/>
      <c r="F7" s="93"/>
      <c r="G7" s="20"/>
      <c r="H7" s="149"/>
      <c r="I7" s="150"/>
      <c r="J7" s="214"/>
      <c r="K7" s="215" t="s">
        <v>1</v>
      </c>
      <c r="L7" s="214"/>
      <c r="M7" s="214"/>
      <c r="N7" s="215" t="s">
        <v>2</v>
      </c>
    </row>
    <row r="8" spans="1:16" ht="15.75" hidden="1" outlineLevel="1" thickBot="1" x14ac:dyDescent="0.3">
      <c r="A8" s="27"/>
      <c r="B8" s="27"/>
      <c r="C8" s="94"/>
      <c r="D8" s="94"/>
      <c r="E8" s="94"/>
      <c r="F8" s="94"/>
      <c r="G8" s="21"/>
      <c r="H8" s="27"/>
      <c r="I8" s="38">
        <f>COUNTIF(I9:I83,2)*2</f>
        <v>14</v>
      </c>
      <c r="J8" s="22">
        <f>COUNTIF(J9:J83,"x")</f>
        <v>7</v>
      </c>
      <c r="K8" s="81">
        <f>SUBTOTAL(9,K9:K83)</f>
        <v>4.5</v>
      </c>
      <c r="L8" s="22">
        <f>COUNTIF(L9:L83,"x")</f>
        <v>7</v>
      </c>
      <c r="M8" s="81">
        <f>SUBTOTAL(9,M9:M83)</f>
        <v>9.5</v>
      </c>
      <c r="N8" s="85">
        <f>SUBTOTAL(9,N9:N83)</f>
        <v>5</v>
      </c>
    </row>
    <row r="9" spans="1:16" s="29" customFormat="1" ht="15.75" collapsed="1" thickBot="1" x14ac:dyDescent="0.3">
      <c r="A9" s="28"/>
      <c r="B9" s="28"/>
      <c r="C9" s="95"/>
      <c r="D9" s="95"/>
      <c r="E9" s="95"/>
      <c r="F9" s="95"/>
      <c r="G9" s="125"/>
      <c r="H9" s="126"/>
      <c r="I9" s="127"/>
      <c r="J9" s="435"/>
      <c r="K9" s="435"/>
      <c r="L9" s="435"/>
      <c r="M9" s="435"/>
      <c r="N9" s="436"/>
      <c r="P9" s="5"/>
    </row>
    <row r="10" spans="1:16" x14ac:dyDescent="0.25">
      <c r="A10" s="72"/>
      <c r="B10" s="72"/>
      <c r="C10" s="96"/>
      <c r="D10" s="96"/>
      <c r="E10" s="96"/>
      <c r="F10" s="105">
        <v>1</v>
      </c>
      <c r="G10" s="13" t="s">
        <v>17</v>
      </c>
      <c r="H10" s="3" t="s">
        <v>90</v>
      </c>
      <c r="I10" s="7"/>
      <c r="J10" s="162" t="str">
        <f>$J$5</f>
        <v>současný stav</v>
      </c>
      <c r="K10" s="130" t="str">
        <f>$K$5</f>
        <v>současný stav</v>
      </c>
      <c r="L10" s="162" t="str">
        <f>$L$5</f>
        <v>plánovaný stav</v>
      </c>
      <c r="M10" s="86" t="str">
        <f>$M$5</f>
        <v>plánovaný stav</v>
      </c>
      <c r="N10" s="157" t="str">
        <f>$N$5</f>
        <v>pokrok</v>
      </c>
    </row>
    <row r="11" spans="1:16" x14ac:dyDescent="0.25">
      <c r="A11" s="73"/>
      <c r="B11" s="73"/>
      <c r="C11" s="97"/>
      <c r="D11" s="97"/>
      <c r="E11" s="97"/>
      <c r="F11" s="108" t="str">
        <f>G11</f>
        <v>1.1</v>
      </c>
      <c r="G11" s="70" t="str">
        <f>$G$2&amp;F10</f>
        <v>1.1</v>
      </c>
      <c r="H11" s="4" t="s">
        <v>95</v>
      </c>
      <c r="I11" s="12"/>
      <c r="J11" s="163" t="str">
        <f>$J$6</f>
        <v>výběr úrovně</v>
      </c>
      <c r="K11" s="131" t="str">
        <f>$K$6</f>
        <v>bodové hodnocení</v>
      </c>
      <c r="L11" s="163" t="str">
        <f>$L$6</f>
        <v>výběr úrovně</v>
      </c>
      <c r="M11" s="88" t="str">
        <f>$M$6</f>
        <v>bodové hodnocení</v>
      </c>
      <c r="N11" s="158" t="str">
        <f>$N$6</f>
        <v>bodové hodnocení</v>
      </c>
    </row>
    <row r="12" spans="1:16" ht="15.75" thickBot="1" x14ac:dyDescent="0.3">
      <c r="A12" s="73"/>
      <c r="B12" s="73"/>
      <c r="C12" s="97"/>
      <c r="D12" s="97"/>
      <c r="E12" s="97"/>
      <c r="F12" s="104" t="str">
        <f t="shared" ref="F12:F24" si="0">F11</f>
        <v>1.1</v>
      </c>
      <c r="G12" s="14"/>
      <c r="H12" s="15"/>
      <c r="I12" s="8"/>
      <c r="J12" s="164"/>
      <c r="K12" s="132" t="str">
        <f>$K$7</f>
        <v>B</v>
      </c>
      <c r="L12" s="164"/>
      <c r="M12" s="89"/>
      <c r="N12" s="159" t="str">
        <f>$N$7</f>
        <v>C</v>
      </c>
    </row>
    <row r="13" spans="1:16" x14ac:dyDescent="0.25">
      <c r="A13" s="69">
        <f>IF(G13="a.",0,IF(G13="b.",1,IF(G13="c.",2,IF(G13="d.",3,IF(G13="e.",4,IF(G13="f.",5,IF(G13="g.",6,IF(G13="h.",7,IF(G13="i.",8,IF(G13="j.",9,""))))))))))</f>
        <v>0</v>
      </c>
      <c r="B13" s="103">
        <f>MAX(A13:A18)</f>
        <v>4</v>
      </c>
      <c r="C13" s="98">
        <f>SUM(K13:K18)</f>
        <v>0.5</v>
      </c>
      <c r="D13" s="98">
        <f>SUM(M13:M18)</f>
        <v>0.5</v>
      </c>
      <c r="E13" s="98">
        <f>D13-C13</f>
        <v>0</v>
      </c>
      <c r="F13" s="104" t="str">
        <f t="shared" si="0"/>
        <v>1.1</v>
      </c>
      <c r="G13" s="9" t="s">
        <v>6</v>
      </c>
      <c r="H13" s="77" t="s">
        <v>75</v>
      </c>
      <c r="I13" s="79">
        <f>IF(A13&lt;&gt;"",A13/B13*2,"")</f>
        <v>0</v>
      </c>
      <c r="J13" s="218"/>
      <c r="K13" s="133" t="str">
        <f>IF(J13="","",I13)</f>
        <v/>
      </c>
      <c r="L13" s="218"/>
      <c r="M13" s="90" t="str">
        <f>IF(L13="","",I13)</f>
        <v/>
      </c>
      <c r="N13" s="160" t="str">
        <f>IF(AND(M13&lt;&gt;"",E13&gt;=0),E13,"")</f>
        <v/>
      </c>
    </row>
    <row r="14" spans="1:16" x14ac:dyDescent="0.25">
      <c r="A14" s="69">
        <f>IF(G14="a.",0,IF(G14="b.",1,IF(G14="c.",2,IF(G14="d.",3,IF(G14="e.",4,IF(G14="f.",5,IF(G14="g.",6,IF(G14="h.",7,IF(G14="i.",8,IF(G14="j.",9,""))))))))))</f>
        <v>1</v>
      </c>
      <c r="B14" s="99">
        <f t="shared" ref="B14:B17" si="1">B13</f>
        <v>4</v>
      </c>
      <c r="C14" s="93"/>
      <c r="D14" s="93"/>
      <c r="E14" s="99">
        <f>E13</f>
        <v>0</v>
      </c>
      <c r="F14" s="104" t="str">
        <f t="shared" si="0"/>
        <v>1.1</v>
      </c>
      <c r="G14" s="2" t="s">
        <v>8</v>
      </c>
      <c r="H14" s="78" t="s">
        <v>74</v>
      </c>
      <c r="I14" s="79">
        <f>IF(A14&lt;&gt;"",A14/B14*2,"")</f>
        <v>0.5</v>
      </c>
      <c r="J14" s="219" t="s">
        <v>298</v>
      </c>
      <c r="K14" s="134">
        <f>IF(J14="","",I14)</f>
        <v>0.5</v>
      </c>
      <c r="L14" s="219" t="s">
        <v>298</v>
      </c>
      <c r="M14" s="91">
        <f>IF(L14="","",I14)</f>
        <v>0.5</v>
      </c>
      <c r="N14" s="161">
        <f>IF(AND(M14&lt;&gt;"",E14&gt;=0),E14,"")</f>
        <v>0</v>
      </c>
    </row>
    <row r="15" spans="1:16" x14ac:dyDescent="0.25">
      <c r="A15" s="69">
        <f>IF(G15="a.",0,IF(G15="b.",1,IF(G15="c.",2,IF(G15="d.",3,IF(G15="e.",4,IF(G15="f.",5,IF(G15="g.",6,IF(G15="h.",7,IF(G15="i.",8,IF(G15="j.",9,""))))))))))</f>
        <v>2</v>
      </c>
      <c r="B15" s="99">
        <f t="shared" si="1"/>
        <v>4</v>
      </c>
      <c r="C15" s="93"/>
      <c r="D15" s="93"/>
      <c r="E15" s="99">
        <f>E14</f>
        <v>0</v>
      </c>
      <c r="F15" s="104" t="str">
        <f t="shared" si="0"/>
        <v>1.1</v>
      </c>
      <c r="G15" s="2" t="s">
        <v>10</v>
      </c>
      <c r="H15" s="78" t="s">
        <v>94</v>
      </c>
      <c r="I15" s="79">
        <f>IF(A15&lt;&gt;"",A15/B15*2,"")</f>
        <v>1</v>
      </c>
      <c r="J15" s="219"/>
      <c r="K15" s="134" t="str">
        <f>IF(J15="","",I15)</f>
        <v/>
      </c>
      <c r="L15" s="219"/>
      <c r="M15" s="91" t="str">
        <f>IF(L15="","",I15)</f>
        <v/>
      </c>
      <c r="N15" s="161" t="str">
        <f>IF(AND(M15&lt;&gt;"",E15&gt;=0),E15,"")</f>
        <v/>
      </c>
    </row>
    <row r="16" spans="1:16" x14ac:dyDescent="0.25">
      <c r="A16" s="69">
        <f>IF(G16="a.",0,IF(G16="b.",1,IF(G16="c.",2,IF(G16="d.",3,IF(G16="e.",4,IF(G16="f.",5,IF(G16="g.",6,IF(G16="h.",7,IF(G16="i.",8,IF(G16="j.",9,""))))))))))</f>
        <v>3</v>
      </c>
      <c r="B16" s="99">
        <f t="shared" si="1"/>
        <v>4</v>
      </c>
      <c r="C16" s="93"/>
      <c r="D16" s="93"/>
      <c r="E16" s="99">
        <f>E15</f>
        <v>0</v>
      </c>
      <c r="F16" s="104" t="str">
        <f t="shared" si="0"/>
        <v>1.1</v>
      </c>
      <c r="G16" s="75" t="s">
        <v>68</v>
      </c>
      <c r="H16" s="76" t="s">
        <v>93</v>
      </c>
      <c r="I16" s="79">
        <f>IF(A16&lt;&gt;"",A16/B16*2,"")</f>
        <v>1.5</v>
      </c>
      <c r="J16" s="219"/>
      <c r="K16" s="134" t="str">
        <f t="shared" ref="K16" si="2">IF(J16="","",I16)</f>
        <v/>
      </c>
      <c r="L16" s="219"/>
      <c r="M16" s="91" t="str">
        <f t="shared" ref="M16" si="3">IF(L16="","",I16)</f>
        <v/>
      </c>
      <c r="N16" s="161" t="str">
        <f>IF(AND(M16&lt;&gt;"",E16&gt;=0),E16,"")</f>
        <v/>
      </c>
    </row>
    <row r="17" spans="1:14" x14ac:dyDescent="0.25">
      <c r="A17" s="69">
        <f>IF(G17="a.",0,IF(G17="b.",1,IF(G17="c.",2,IF(G17="d.",3,IF(G17="e.",4,IF(G17="f.",5,IF(G17="g.",6,IF(G17="h.",7,IF(G17="i.",8,IF(G17="j.",9,""))))))))))</f>
        <v>4</v>
      </c>
      <c r="B17" s="99">
        <f t="shared" si="1"/>
        <v>4</v>
      </c>
      <c r="C17" s="93"/>
      <c r="D17" s="93"/>
      <c r="E17" s="99">
        <f>E16</f>
        <v>0</v>
      </c>
      <c r="F17" s="104" t="str">
        <f t="shared" si="0"/>
        <v>1.1</v>
      </c>
      <c r="G17" s="2" t="s">
        <v>92</v>
      </c>
      <c r="H17" s="76" t="s">
        <v>91</v>
      </c>
      <c r="I17" s="79">
        <f>IF(A17&lt;&gt;"",A17/B17*2,"")</f>
        <v>2</v>
      </c>
      <c r="J17" s="219"/>
      <c r="K17" s="134" t="str">
        <f t="shared" ref="K17" si="4">IF(J17="","",I17)</f>
        <v/>
      </c>
      <c r="L17" s="219"/>
      <c r="M17" s="91" t="str">
        <f t="shared" ref="M17" si="5">IF(L17="","",I17)</f>
        <v/>
      </c>
      <c r="N17" s="161" t="str">
        <f>IF(AND(M17&lt;&gt;"",E17&gt;=0),E17,"")</f>
        <v/>
      </c>
    </row>
    <row r="18" spans="1:14" x14ac:dyDescent="0.25">
      <c r="A18" s="115"/>
      <c r="B18" s="115"/>
      <c r="C18" s="116"/>
      <c r="D18" s="116"/>
      <c r="E18" s="116"/>
      <c r="F18" s="104" t="str">
        <f t="shared" si="0"/>
        <v>1.1</v>
      </c>
      <c r="G18" s="135" t="str">
        <f>"odd. B "&amp;F18</f>
        <v>odd. B 1.1</v>
      </c>
      <c r="H18" s="136" t="s">
        <v>18</v>
      </c>
      <c r="I18" s="137"/>
      <c r="J18" s="137"/>
      <c r="K18" s="138"/>
      <c r="L18" s="137"/>
      <c r="M18" s="138"/>
      <c r="N18" s="139"/>
    </row>
    <row r="19" spans="1:14" x14ac:dyDescent="0.25">
      <c r="A19" s="119"/>
      <c r="B19" s="119"/>
      <c r="C19" s="119"/>
      <c r="D19" s="119"/>
      <c r="E19" s="119"/>
      <c r="F19" s="104" t="str">
        <f t="shared" si="0"/>
        <v>1.1</v>
      </c>
      <c r="G19" s="140"/>
      <c r="H19" s="424"/>
      <c r="I19" s="425"/>
      <c r="J19" s="425"/>
      <c r="K19" s="425"/>
      <c r="L19" s="425"/>
      <c r="M19" s="425"/>
      <c r="N19" s="426"/>
    </row>
    <row r="20" spans="1:14" x14ac:dyDescent="0.25">
      <c r="A20" s="16"/>
      <c r="B20" s="16"/>
      <c r="C20" s="100"/>
      <c r="D20" s="100"/>
      <c r="E20" s="100"/>
      <c r="F20" s="104" t="str">
        <f t="shared" si="0"/>
        <v>1.1</v>
      </c>
      <c r="G20" s="151" t="str">
        <f>"odd. C "&amp;F20</f>
        <v>odd. C 1.1</v>
      </c>
      <c r="H20" s="152" t="s">
        <v>19</v>
      </c>
      <c r="I20" s="153"/>
      <c r="J20" s="153"/>
      <c r="K20" s="154"/>
      <c r="L20" s="153"/>
      <c r="M20" s="154"/>
      <c r="N20" s="155"/>
    </row>
    <row r="21" spans="1:14" ht="15.75" thickBot="1" x14ac:dyDescent="0.3">
      <c r="A21" s="117"/>
      <c r="B21" s="117"/>
      <c r="C21" s="117"/>
      <c r="D21" s="117"/>
      <c r="E21" s="117"/>
      <c r="F21" s="104" t="str">
        <f t="shared" si="0"/>
        <v>1.1</v>
      </c>
      <c r="G21" s="156"/>
      <c r="H21" s="427"/>
      <c r="I21" s="428"/>
      <c r="J21" s="428"/>
      <c r="K21" s="428"/>
      <c r="L21" s="428"/>
      <c r="M21" s="428"/>
      <c r="N21" s="429"/>
    </row>
    <row r="22" spans="1:14" collapsed="1" x14ac:dyDescent="0.25">
      <c r="A22" s="72"/>
      <c r="B22" s="72"/>
      <c r="C22" s="96"/>
      <c r="D22" s="96"/>
      <c r="E22" s="96"/>
      <c r="F22" s="105">
        <v>2</v>
      </c>
      <c r="G22" s="13" t="s">
        <v>17</v>
      </c>
      <c r="H22" s="3" t="s">
        <v>90</v>
      </c>
      <c r="I22" s="7"/>
      <c r="J22" s="162" t="str">
        <f>$J$5</f>
        <v>současný stav</v>
      </c>
      <c r="K22" s="130" t="str">
        <f>$K$5</f>
        <v>současný stav</v>
      </c>
      <c r="L22" s="162" t="str">
        <f>$L$5</f>
        <v>plánovaný stav</v>
      </c>
      <c r="M22" s="86" t="str">
        <f>$M$5</f>
        <v>plánovaný stav</v>
      </c>
      <c r="N22" s="157" t="str">
        <f>$N$5</f>
        <v>pokrok</v>
      </c>
    </row>
    <row r="23" spans="1:14" x14ac:dyDescent="0.25">
      <c r="A23" s="73"/>
      <c r="B23" s="73"/>
      <c r="C23" s="97"/>
      <c r="D23" s="97"/>
      <c r="E23" s="97"/>
      <c r="F23" s="108" t="str">
        <f>G23</f>
        <v>1.2</v>
      </c>
      <c r="G23" s="70" t="str">
        <f>$G$2&amp;F22</f>
        <v>1.2</v>
      </c>
      <c r="H23" s="4" t="s">
        <v>89</v>
      </c>
      <c r="I23" s="12"/>
      <c r="J23" s="163" t="str">
        <f>$J$6</f>
        <v>výběr úrovně</v>
      </c>
      <c r="K23" s="131" t="str">
        <f>$K$6</f>
        <v>bodové hodnocení</v>
      </c>
      <c r="L23" s="163" t="str">
        <f>$L$6</f>
        <v>výběr úrovně</v>
      </c>
      <c r="M23" s="88" t="str">
        <f>$M$6</f>
        <v>bodové hodnocení</v>
      </c>
      <c r="N23" s="158" t="str">
        <f>$N$6</f>
        <v>bodové hodnocení</v>
      </c>
    </row>
    <row r="24" spans="1:14" ht="15.75" thickBot="1" x14ac:dyDescent="0.3">
      <c r="A24" s="74"/>
      <c r="B24" s="74"/>
      <c r="C24" s="101"/>
      <c r="D24" s="101"/>
      <c r="E24" s="101"/>
      <c r="F24" s="104" t="str">
        <f t="shared" si="0"/>
        <v>1.2</v>
      </c>
      <c r="G24" s="14"/>
      <c r="H24" s="15"/>
      <c r="I24" s="8"/>
      <c r="J24" s="164"/>
      <c r="K24" s="132" t="str">
        <f>$K$7</f>
        <v>B</v>
      </c>
      <c r="L24" s="164"/>
      <c r="M24" s="89"/>
      <c r="N24" s="159" t="str">
        <f>$N$7</f>
        <v>C</v>
      </c>
    </row>
    <row r="25" spans="1:14" x14ac:dyDescent="0.25">
      <c r="A25" s="69">
        <f>IF(G25="a.",0,IF(G25="b.",1,IF(G25="c.",2,IF(G25="d.",3,IF(G25="e.",4,IF(G25="f.",5,IF(G25="g.",6,IF(G25="h.",7,IF(G25="i.",8,IF(G25="j.",9,""))))))))))</f>
        <v>0</v>
      </c>
      <c r="B25" s="103">
        <f>MAX(A25:A28)</f>
        <v>2</v>
      </c>
      <c r="C25" s="98">
        <f>SUM(K25:K28)</f>
        <v>1</v>
      </c>
      <c r="D25" s="98">
        <f>SUM(M25:M28)</f>
        <v>2</v>
      </c>
      <c r="E25" s="98">
        <f>D25-C25</f>
        <v>1</v>
      </c>
      <c r="F25" s="104" t="str">
        <f t="shared" ref="F25:F31" si="6">F24</f>
        <v>1.2</v>
      </c>
      <c r="G25" s="9" t="s">
        <v>6</v>
      </c>
      <c r="H25" s="10" t="s">
        <v>75</v>
      </c>
      <c r="I25" s="79">
        <f>IF(A25&lt;&gt;"",A25/B25*2,"")</f>
        <v>0</v>
      </c>
      <c r="J25" s="218"/>
      <c r="K25" s="133" t="str">
        <f>IF(J25="","",I25)</f>
        <v/>
      </c>
      <c r="L25" s="218"/>
      <c r="M25" s="90" t="str">
        <f>IF(L25="","",I25)</f>
        <v/>
      </c>
      <c r="N25" s="160" t="str">
        <f>IF(AND(M25&lt;&gt;"",E25&gt;=0),E25,"")</f>
        <v/>
      </c>
    </row>
    <row r="26" spans="1:14" x14ac:dyDescent="0.25">
      <c r="A26" s="69">
        <f>IF(G26="a.",0,IF(G26="b.",1,IF(G26="c.",2,IF(G26="d.",3,IF(G26="e.",4,IF(G26="f.",5,IF(G26="g.",6,IF(G26="h.",7,IF(G26="i.",8,IF(G26="j.",9,""))))))))))</f>
        <v>1</v>
      </c>
      <c r="B26" s="99">
        <f t="shared" ref="B26:B27" si="7">B25</f>
        <v>2</v>
      </c>
      <c r="C26" s="93"/>
      <c r="D26" s="93"/>
      <c r="E26" s="99">
        <f>E25</f>
        <v>1</v>
      </c>
      <c r="F26" s="104" t="str">
        <f t="shared" si="6"/>
        <v>1.2</v>
      </c>
      <c r="G26" s="2" t="s">
        <v>8</v>
      </c>
      <c r="H26" s="1" t="s">
        <v>88</v>
      </c>
      <c r="I26" s="79">
        <v>1</v>
      </c>
      <c r="J26" s="219" t="s">
        <v>298</v>
      </c>
      <c r="K26" s="134">
        <f>IF(J26="","",I26)</f>
        <v>1</v>
      </c>
      <c r="L26" s="219"/>
      <c r="M26" s="91" t="str">
        <f>IF(L26="","",I26)</f>
        <v/>
      </c>
      <c r="N26" s="161" t="str">
        <f>IF(AND(M26&lt;&gt;"",E26&gt;=0),E26,"")</f>
        <v/>
      </c>
    </row>
    <row r="27" spans="1:14" x14ac:dyDescent="0.25">
      <c r="A27" s="69">
        <f>IF(G27="a.",0,IF(G27="b.",1,IF(G27="c.",2,IF(G27="d.",3,IF(G27="e.",4,IF(G27="f.",5,IF(G27="g.",6,IF(G27="h.",7,IF(G27="i.",8,IF(G27="j.",9,""))))))))))</f>
        <v>2</v>
      </c>
      <c r="B27" s="99">
        <f t="shared" si="7"/>
        <v>2</v>
      </c>
      <c r="C27" s="93"/>
      <c r="D27" s="93"/>
      <c r="E27" s="99">
        <f>E26</f>
        <v>1</v>
      </c>
      <c r="F27" s="104" t="str">
        <f t="shared" si="6"/>
        <v>1.2</v>
      </c>
      <c r="G27" s="2" t="s">
        <v>10</v>
      </c>
      <c r="H27" s="1" t="s">
        <v>87</v>
      </c>
      <c r="I27" s="79">
        <f>IF(A27&lt;&gt;"",A27/B27*2,"")</f>
        <v>2</v>
      </c>
      <c r="J27" s="219"/>
      <c r="K27" s="134" t="str">
        <f>IF(J27="","",I27)</f>
        <v/>
      </c>
      <c r="L27" s="219" t="s">
        <v>298</v>
      </c>
      <c r="M27" s="91">
        <f>IF(L27="","",I27)</f>
        <v>2</v>
      </c>
      <c r="N27" s="161">
        <f>IF(AND(M27&lt;&gt;"",E27&gt;=0),E27,"")</f>
        <v>1</v>
      </c>
    </row>
    <row r="28" spans="1:14" x14ac:dyDescent="0.25">
      <c r="A28" s="111"/>
      <c r="B28" s="111"/>
      <c r="C28" s="112"/>
      <c r="D28" s="112"/>
      <c r="E28" s="112"/>
      <c r="F28" s="104" t="str">
        <f t="shared" si="6"/>
        <v>1.2</v>
      </c>
      <c r="G28" s="135" t="str">
        <f>"odd. B "&amp;F28</f>
        <v>odd. B 1.2</v>
      </c>
      <c r="H28" s="136" t="s">
        <v>18</v>
      </c>
      <c r="I28" s="137"/>
      <c r="J28" s="137"/>
      <c r="K28" s="138"/>
      <c r="L28" s="137"/>
      <c r="M28" s="138"/>
      <c r="N28" s="139"/>
    </row>
    <row r="29" spans="1:14" x14ac:dyDescent="0.25">
      <c r="A29" s="119"/>
      <c r="B29" s="119"/>
      <c r="C29" s="119"/>
      <c r="D29" s="119"/>
      <c r="E29" s="119"/>
      <c r="F29" s="104" t="str">
        <f t="shared" si="6"/>
        <v>1.2</v>
      </c>
      <c r="G29" s="140"/>
      <c r="H29" s="424"/>
      <c r="I29" s="425"/>
      <c r="J29" s="425"/>
      <c r="K29" s="425"/>
      <c r="L29" s="425"/>
      <c r="M29" s="425"/>
      <c r="N29" s="426"/>
    </row>
    <row r="30" spans="1:14" x14ac:dyDescent="0.25">
      <c r="A30" s="16"/>
      <c r="B30" s="16"/>
      <c r="C30" s="100"/>
      <c r="D30" s="100"/>
      <c r="E30" s="100"/>
      <c r="F30" s="104" t="str">
        <f t="shared" si="6"/>
        <v>1.2</v>
      </c>
      <c r="G30" s="151" t="str">
        <f>"odd. C "&amp;F30</f>
        <v>odd. C 1.2</v>
      </c>
      <c r="H30" s="152" t="s">
        <v>19</v>
      </c>
      <c r="I30" s="153"/>
      <c r="J30" s="153"/>
      <c r="K30" s="154"/>
      <c r="L30" s="153"/>
      <c r="M30" s="154"/>
      <c r="N30" s="155"/>
    </row>
    <row r="31" spans="1:14" ht="15.75" thickBot="1" x14ac:dyDescent="0.3">
      <c r="A31" s="117"/>
      <c r="B31" s="117"/>
      <c r="C31" s="117"/>
      <c r="D31" s="117"/>
      <c r="E31" s="117"/>
      <c r="F31" s="104" t="str">
        <f t="shared" si="6"/>
        <v>1.2</v>
      </c>
      <c r="G31" s="156"/>
      <c r="H31" s="427"/>
      <c r="I31" s="428"/>
      <c r="J31" s="428"/>
      <c r="K31" s="428"/>
      <c r="L31" s="428"/>
      <c r="M31" s="428"/>
      <c r="N31" s="429"/>
    </row>
    <row r="32" spans="1:14" collapsed="1" x14ac:dyDescent="0.25">
      <c r="A32" s="72"/>
      <c r="B32" s="72"/>
      <c r="C32" s="96"/>
      <c r="D32" s="96"/>
      <c r="E32" s="96"/>
      <c r="F32" s="105">
        <v>3</v>
      </c>
      <c r="G32" s="13" t="s">
        <v>17</v>
      </c>
      <c r="H32" s="3" t="s">
        <v>86</v>
      </c>
      <c r="I32" s="7"/>
      <c r="J32" s="162" t="str">
        <f>$J$5</f>
        <v>současný stav</v>
      </c>
      <c r="K32" s="130" t="str">
        <f>$K$5</f>
        <v>současný stav</v>
      </c>
      <c r="L32" s="162" t="str">
        <f>$L$5</f>
        <v>plánovaný stav</v>
      </c>
      <c r="M32" s="86" t="str">
        <f>$M$5</f>
        <v>plánovaný stav</v>
      </c>
      <c r="N32" s="157" t="str">
        <f>$N$5</f>
        <v>pokrok</v>
      </c>
    </row>
    <row r="33" spans="1:14" x14ac:dyDescent="0.25">
      <c r="A33" s="73"/>
      <c r="B33" s="73"/>
      <c r="C33" s="97"/>
      <c r="D33" s="97"/>
      <c r="E33" s="97"/>
      <c r="F33" s="108" t="str">
        <f>G33</f>
        <v>1.3</v>
      </c>
      <c r="G33" s="70" t="str">
        <f>$G$2&amp;F32</f>
        <v>1.3</v>
      </c>
      <c r="H33" s="4" t="s">
        <v>85</v>
      </c>
      <c r="I33" s="12"/>
      <c r="J33" s="163" t="str">
        <f>$J$6</f>
        <v>výběr úrovně</v>
      </c>
      <c r="K33" s="131" t="str">
        <f>$K$6</f>
        <v>bodové hodnocení</v>
      </c>
      <c r="L33" s="163" t="str">
        <f>$L$6</f>
        <v>výběr úrovně</v>
      </c>
      <c r="M33" s="88" t="str">
        <f>$M$6</f>
        <v>bodové hodnocení</v>
      </c>
      <c r="N33" s="158" t="str">
        <f>$N$6</f>
        <v>bodové hodnocení</v>
      </c>
    </row>
    <row r="34" spans="1:14" ht="15.75" thickBot="1" x14ac:dyDescent="0.3">
      <c r="A34" s="74"/>
      <c r="B34" s="74"/>
      <c r="C34" s="101"/>
      <c r="D34" s="101"/>
      <c r="E34" s="101"/>
      <c r="F34" s="104" t="str">
        <f t="shared" ref="F34:F41" si="8">F33</f>
        <v>1.3</v>
      </c>
      <c r="G34" s="14"/>
      <c r="H34" s="15"/>
      <c r="I34" s="8"/>
      <c r="J34" s="164"/>
      <c r="K34" s="132" t="str">
        <f>$K$7</f>
        <v>B</v>
      </c>
      <c r="L34" s="164"/>
      <c r="M34" s="89"/>
      <c r="N34" s="159" t="str">
        <f>$N$7</f>
        <v>C</v>
      </c>
    </row>
    <row r="35" spans="1:14" x14ac:dyDescent="0.25">
      <c r="A35" s="69">
        <f>IF(G35="a.",0,IF(G35="b.",1,IF(G35="c.",2,IF(G35="d.",3,IF(G35="e.",4,IF(G35="f.",5,IF(G35="g.",6,IF(G35="h.",7,IF(G35="i.",8,IF(G35="j.",9,""))))))))))</f>
        <v>0</v>
      </c>
      <c r="B35" s="103">
        <f>MAX(A35:A38)</f>
        <v>2</v>
      </c>
      <c r="C35" s="98">
        <f>SUM(K35:K38)</f>
        <v>1</v>
      </c>
      <c r="D35" s="98">
        <f>SUM(M35:M38)</f>
        <v>2</v>
      </c>
      <c r="E35" s="98">
        <f>D35-C35</f>
        <v>1</v>
      </c>
      <c r="F35" s="104" t="str">
        <f t="shared" si="8"/>
        <v>1.3</v>
      </c>
      <c r="G35" s="2" t="s">
        <v>6</v>
      </c>
      <c r="H35" s="1" t="s">
        <v>75</v>
      </c>
      <c r="I35" s="79">
        <f>IF(A35&lt;&gt;"",A35/B35*2,"")</f>
        <v>0</v>
      </c>
      <c r="J35" s="218"/>
      <c r="K35" s="133" t="str">
        <f>IF(J35="","",I35)</f>
        <v/>
      </c>
      <c r="L35" s="218"/>
      <c r="M35" s="90" t="str">
        <f>IF(L35="","",I35)</f>
        <v/>
      </c>
      <c r="N35" s="160" t="str">
        <f>IF(AND(M35&lt;&gt;"",E35&gt;=0),E35,"")</f>
        <v/>
      </c>
    </row>
    <row r="36" spans="1:14" x14ac:dyDescent="0.25">
      <c r="A36" s="69">
        <f>IF(G36="a.",0,IF(G36="b.",1,IF(G36="c.",2,IF(G36="d.",3,IF(G36="e.",4,IF(G36="f.",5,IF(G36="g.",6,IF(G36="h.",7,IF(G36="i.",8,IF(G36="j.",9,""))))))))))</f>
        <v>1</v>
      </c>
      <c r="B36" s="99">
        <f t="shared" ref="B36:B37" si="9">B35</f>
        <v>2</v>
      </c>
      <c r="C36" s="93"/>
      <c r="D36" s="93"/>
      <c r="E36" s="99">
        <f>E35</f>
        <v>1</v>
      </c>
      <c r="F36" s="104" t="str">
        <f t="shared" si="8"/>
        <v>1.3</v>
      </c>
      <c r="G36" s="2" t="s">
        <v>8</v>
      </c>
      <c r="H36" s="1" t="s">
        <v>84</v>
      </c>
      <c r="I36" s="79">
        <f>IF(A36&lt;&gt;"",A36/B36*2,"")</f>
        <v>1</v>
      </c>
      <c r="J36" s="219" t="s">
        <v>298</v>
      </c>
      <c r="K36" s="134">
        <f>IF(J36="","",I36)</f>
        <v>1</v>
      </c>
      <c r="L36" s="219"/>
      <c r="M36" s="91" t="str">
        <f>IF(L36="","",I36)</f>
        <v/>
      </c>
      <c r="N36" s="161" t="str">
        <f>IF(AND(M36&lt;&gt;"",E36&gt;=0),E36,"")</f>
        <v/>
      </c>
    </row>
    <row r="37" spans="1:14" x14ac:dyDescent="0.25">
      <c r="A37" s="69">
        <f>IF(G37="a.",0,IF(G37="b.",1,IF(G37="c.",2,IF(G37="d.",3,IF(G37="e.",4,IF(G37="f.",5,IF(G37="g.",6,IF(G37="h.",7,IF(G37="i.",8,IF(G37="j.",9,""))))))))))</f>
        <v>2</v>
      </c>
      <c r="B37" s="99">
        <f t="shared" si="9"/>
        <v>2</v>
      </c>
      <c r="C37" s="93"/>
      <c r="D37" s="93"/>
      <c r="E37" s="99">
        <f>E36</f>
        <v>1</v>
      </c>
      <c r="F37" s="104" t="str">
        <f t="shared" si="8"/>
        <v>1.3</v>
      </c>
      <c r="G37" s="2" t="s">
        <v>10</v>
      </c>
      <c r="H37" s="1" t="s">
        <v>83</v>
      </c>
      <c r="I37" s="79">
        <f>IF(A37&lt;&gt;"",A37/B37*2,"")</f>
        <v>2</v>
      </c>
      <c r="J37" s="219"/>
      <c r="K37" s="134" t="str">
        <f>IF(J37="","",I37)</f>
        <v/>
      </c>
      <c r="L37" s="219" t="s">
        <v>298</v>
      </c>
      <c r="M37" s="91">
        <f>IF(L37="","",I37)</f>
        <v>2</v>
      </c>
      <c r="N37" s="161">
        <f>IF(AND(M37&lt;&gt;"",E37&gt;=0),E37,"")</f>
        <v>1</v>
      </c>
    </row>
    <row r="38" spans="1:14" x14ac:dyDescent="0.25">
      <c r="A38" s="111"/>
      <c r="B38" s="111"/>
      <c r="C38" s="112"/>
      <c r="D38" s="112"/>
      <c r="E38" s="112"/>
      <c r="F38" s="104" t="str">
        <f t="shared" si="8"/>
        <v>1.3</v>
      </c>
      <c r="G38" s="135" t="str">
        <f>"odd. B "&amp;F38</f>
        <v>odd. B 1.3</v>
      </c>
      <c r="H38" s="136" t="s">
        <v>18</v>
      </c>
      <c r="I38" s="137"/>
      <c r="J38" s="137"/>
      <c r="K38" s="138"/>
      <c r="L38" s="137"/>
      <c r="M38" s="138"/>
      <c r="N38" s="139"/>
    </row>
    <row r="39" spans="1:14" x14ac:dyDescent="0.25">
      <c r="A39" s="119"/>
      <c r="B39" s="119"/>
      <c r="C39" s="119"/>
      <c r="D39" s="119"/>
      <c r="E39" s="119"/>
      <c r="F39" s="104" t="str">
        <f t="shared" si="8"/>
        <v>1.3</v>
      </c>
      <c r="G39" s="140"/>
      <c r="H39" s="424"/>
      <c r="I39" s="425"/>
      <c r="J39" s="425"/>
      <c r="K39" s="425"/>
      <c r="L39" s="425"/>
      <c r="M39" s="425"/>
      <c r="N39" s="426"/>
    </row>
    <row r="40" spans="1:14" x14ac:dyDescent="0.25">
      <c r="A40" s="16"/>
      <c r="B40" s="16"/>
      <c r="C40" s="100"/>
      <c r="D40" s="100"/>
      <c r="E40" s="100"/>
      <c r="F40" s="104" t="str">
        <f t="shared" si="8"/>
        <v>1.3</v>
      </c>
      <c r="G40" s="151" t="str">
        <f>"odd. C "&amp;F40</f>
        <v>odd. C 1.3</v>
      </c>
      <c r="H40" s="152" t="s">
        <v>19</v>
      </c>
      <c r="I40" s="153"/>
      <c r="J40" s="153"/>
      <c r="K40" s="154"/>
      <c r="L40" s="153"/>
      <c r="M40" s="154"/>
      <c r="N40" s="155"/>
    </row>
    <row r="41" spans="1:14" ht="15.75" thickBot="1" x14ac:dyDescent="0.3">
      <c r="A41" s="117"/>
      <c r="B41" s="117"/>
      <c r="C41" s="117"/>
      <c r="D41" s="117"/>
      <c r="E41" s="117"/>
      <c r="F41" s="104" t="str">
        <f t="shared" si="8"/>
        <v>1.3</v>
      </c>
      <c r="G41" s="156"/>
      <c r="H41" s="427"/>
      <c r="I41" s="428"/>
      <c r="J41" s="428"/>
      <c r="K41" s="428"/>
      <c r="L41" s="428"/>
      <c r="M41" s="428"/>
      <c r="N41" s="429"/>
    </row>
    <row r="42" spans="1:14" collapsed="1" x14ac:dyDescent="0.25">
      <c r="A42" s="72"/>
      <c r="B42" s="72"/>
      <c r="C42" s="96"/>
      <c r="D42" s="96"/>
      <c r="E42" s="96"/>
      <c r="F42" s="105">
        <v>4</v>
      </c>
      <c r="G42" s="13" t="s">
        <v>17</v>
      </c>
      <c r="H42" s="3" t="s">
        <v>82</v>
      </c>
      <c r="I42" s="7"/>
      <c r="J42" s="162" t="str">
        <f>$J$5</f>
        <v>současný stav</v>
      </c>
      <c r="K42" s="130" t="str">
        <f>$K$5</f>
        <v>současný stav</v>
      </c>
      <c r="L42" s="162" t="str">
        <f>$L$5</f>
        <v>plánovaný stav</v>
      </c>
      <c r="M42" s="86" t="str">
        <f>$M$5</f>
        <v>plánovaný stav</v>
      </c>
      <c r="N42" s="157" t="str">
        <f>$N$5</f>
        <v>pokrok</v>
      </c>
    </row>
    <row r="43" spans="1:14" x14ac:dyDescent="0.25">
      <c r="A43" s="73"/>
      <c r="B43" s="73"/>
      <c r="C43" s="97"/>
      <c r="D43" s="97"/>
      <c r="E43" s="97"/>
      <c r="F43" s="108" t="str">
        <f>G43</f>
        <v>1.4</v>
      </c>
      <c r="G43" s="70" t="str">
        <f>$G$2&amp;F42</f>
        <v>1.4</v>
      </c>
      <c r="H43" s="4" t="s">
        <v>81</v>
      </c>
      <c r="I43" s="12"/>
      <c r="J43" s="163" t="str">
        <f>$J$6</f>
        <v>výběr úrovně</v>
      </c>
      <c r="K43" s="131" t="str">
        <f>$K$6</f>
        <v>bodové hodnocení</v>
      </c>
      <c r="L43" s="163" t="str">
        <f>$L$6</f>
        <v>výběr úrovně</v>
      </c>
      <c r="M43" s="88" t="str">
        <f>$M$6</f>
        <v>bodové hodnocení</v>
      </c>
      <c r="N43" s="158" t="str">
        <f>$N$6</f>
        <v>bodové hodnocení</v>
      </c>
    </row>
    <row r="44" spans="1:14" ht="15.75" thickBot="1" x14ac:dyDescent="0.3">
      <c r="A44" s="74"/>
      <c r="B44" s="74"/>
      <c r="C44" s="101"/>
      <c r="D44" s="101"/>
      <c r="E44" s="101"/>
      <c r="F44" s="104" t="str">
        <f t="shared" ref="F44:F62" si="10">F43</f>
        <v>1.4</v>
      </c>
      <c r="G44" s="14"/>
      <c r="H44" s="15"/>
      <c r="I44" s="8"/>
      <c r="J44" s="164"/>
      <c r="K44" s="132" t="str">
        <f>$K$7</f>
        <v>B</v>
      </c>
      <c r="L44" s="164"/>
      <c r="M44" s="89"/>
      <c r="N44" s="159" t="str">
        <f>$N$7</f>
        <v>C</v>
      </c>
    </row>
    <row r="45" spans="1:14" x14ac:dyDescent="0.25">
      <c r="A45" s="69">
        <f>IF(G45="a.",0,IF(G45="b.",1,IF(G45="c.",2,IF(G45="d.",3,IF(G45="e.",4,IF(G45="f.",5,IF(G45="g.",6,IF(G45="h.",7,IF(G45="i.",8,IF(G45="j.",9,""))))))))))</f>
        <v>0</v>
      </c>
      <c r="B45" s="103">
        <f>MAX(A45:A48)</f>
        <v>2</v>
      </c>
      <c r="C45" s="98">
        <f>SUM(K45:K48)</f>
        <v>0</v>
      </c>
      <c r="D45" s="98">
        <f>SUM(M45:M48)</f>
        <v>2</v>
      </c>
      <c r="E45" s="98">
        <f>D45-C45</f>
        <v>2</v>
      </c>
      <c r="F45" s="104" t="str">
        <f t="shared" si="10"/>
        <v>1.4</v>
      </c>
      <c r="G45" s="2" t="s">
        <v>6</v>
      </c>
      <c r="H45" s="1" t="s">
        <v>80</v>
      </c>
      <c r="I45" s="79">
        <f>IF(A45&lt;&gt;"",A45/B45*2,"")</f>
        <v>0</v>
      </c>
      <c r="J45" s="218" t="s">
        <v>298</v>
      </c>
      <c r="K45" s="133">
        <f>IF(J45="","",I45)</f>
        <v>0</v>
      </c>
      <c r="L45" s="218"/>
      <c r="M45" s="90" t="str">
        <f>IF(L45="","",I45)</f>
        <v/>
      </c>
      <c r="N45" s="160" t="str">
        <f>IF(AND(M45&lt;&gt;"",E45&gt;=0),E45,"")</f>
        <v/>
      </c>
    </row>
    <row r="46" spans="1:14" x14ac:dyDescent="0.25">
      <c r="A46" s="69">
        <f>IF(G46="a.",0,IF(G46="b.",1,IF(G46="c.",2,IF(G46="d.",3,IF(G46="e.",4,IF(G46="f.",5,IF(G46="g.",6,IF(G46="h.",7,IF(G46="i.",8,IF(G46="j.",9,""))))))))))</f>
        <v>1</v>
      </c>
      <c r="B46" s="99">
        <f t="shared" ref="B46:B47" si="11">B45</f>
        <v>2</v>
      </c>
      <c r="C46" s="93"/>
      <c r="D46" s="93"/>
      <c r="E46" s="99">
        <f>E45</f>
        <v>2</v>
      </c>
      <c r="F46" s="104" t="str">
        <f t="shared" si="10"/>
        <v>1.4</v>
      </c>
      <c r="G46" s="2" t="s">
        <v>8</v>
      </c>
      <c r="H46" s="1" t="s">
        <v>79</v>
      </c>
      <c r="I46" s="79">
        <f>IF(A46&lt;&gt;"",A46/B46*2,"")</f>
        <v>1</v>
      </c>
      <c r="J46" s="219"/>
      <c r="K46" s="134" t="str">
        <f>IF(J46="","",I46)</f>
        <v/>
      </c>
      <c r="L46" s="219"/>
      <c r="M46" s="91" t="str">
        <f>IF(L46="","",I46)</f>
        <v/>
      </c>
      <c r="N46" s="161" t="str">
        <f>IF(AND(M46&lt;&gt;"",E46&gt;=0),E46,"")</f>
        <v/>
      </c>
    </row>
    <row r="47" spans="1:14" x14ac:dyDescent="0.25">
      <c r="A47" s="69">
        <f>IF(G47="a.",0,IF(G47="b.",1,IF(G47="c.",2,IF(G47="d.",3,IF(G47="e.",4,IF(G47="f.",5,IF(G47="g.",6,IF(G47="h.",7,IF(G47="i.",8,IF(G47="j.",9,""))))))))))</f>
        <v>2</v>
      </c>
      <c r="B47" s="99">
        <f t="shared" si="11"/>
        <v>2</v>
      </c>
      <c r="C47" s="93"/>
      <c r="D47" s="93"/>
      <c r="E47" s="99">
        <f>E46</f>
        <v>2</v>
      </c>
      <c r="F47" s="104" t="str">
        <f t="shared" si="10"/>
        <v>1.4</v>
      </c>
      <c r="G47" s="2" t="s">
        <v>10</v>
      </c>
      <c r="H47" s="1" t="s">
        <v>78</v>
      </c>
      <c r="I47" s="79">
        <f>IF(A47&lt;&gt;"",A47/B47*2,"")</f>
        <v>2</v>
      </c>
      <c r="J47" s="219"/>
      <c r="K47" s="134" t="str">
        <f>IF(J47="","",I47)</f>
        <v/>
      </c>
      <c r="L47" s="219" t="s">
        <v>298</v>
      </c>
      <c r="M47" s="91">
        <f>IF(L47="","",I47)</f>
        <v>2</v>
      </c>
      <c r="N47" s="161">
        <f>IF(AND(M47&lt;&gt;"",E47&gt;=0),E47,"")</f>
        <v>2</v>
      </c>
    </row>
    <row r="48" spans="1:14" x14ac:dyDescent="0.25">
      <c r="A48" s="111"/>
      <c r="B48" s="111"/>
      <c r="C48" s="112"/>
      <c r="D48" s="112"/>
      <c r="E48" s="112"/>
      <c r="F48" s="104" t="str">
        <f t="shared" si="10"/>
        <v>1.4</v>
      </c>
      <c r="G48" s="135" t="str">
        <f>"odd. B "&amp;F48</f>
        <v>odd. B 1.4</v>
      </c>
      <c r="H48" s="136" t="s">
        <v>18</v>
      </c>
      <c r="I48" s="137"/>
      <c r="J48" s="137"/>
      <c r="K48" s="138"/>
      <c r="L48" s="137"/>
      <c r="M48" s="138"/>
      <c r="N48" s="139"/>
    </row>
    <row r="49" spans="1:14" x14ac:dyDescent="0.25">
      <c r="A49" s="119"/>
      <c r="B49" s="119"/>
      <c r="C49" s="119"/>
      <c r="D49" s="119"/>
      <c r="E49" s="119"/>
      <c r="F49" s="104" t="str">
        <f t="shared" si="10"/>
        <v>1.4</v>
      </c>
      <c r="G49" s="140"/>
      <c r="H49" s="424"/>
      <c r="I49" s="425"/>
      <c r="J49" s="425"/>
      <c r="K49" s="425"/>
      <c r="L49" s="425"/>
      <c r="M49" s="425"/>
      <c r="N49" s="426"/>
    </row>
    <row r="50" spans="1:14" x14ac:dyDescent="0.25">
      <c r="A50" s="16"/>
      <c r="B50" s="16"/>
      <c r="C50" s="100"/>
      <c r="D50" s="100"/>
      <c r="E50" s="100"/>
      <c r="F50" s="104" t="str">
        <f t="shared" si="10"/>
        <v>1.4</v>
      </c>
      <c r="G50" s="151" t="str">
        <f>"odd. C "&amp;F50</f>
        <v>odd. C 1.4</v>
      </c>
      <c r="H50" s="152" t="s">
        <v>19</v>
      </c>
      <c r="I50" s="153"/>
      <c r="J50" s="153"/>
      <c r="K50" s="154"/>
      <c r="L50" s="153"/>
      <c r="M50" s="154"/>
      <c r="N50" s="155"/>
    </row>
    <row r="51" spans="1:14" ht="15.75" thickBot="1" x14ac:dyDescent="0.3">
      <c r="A51" s="117"/>
      <c r="B51" s="117"/>
      <c r="C51" s="117"/>
      <c r="D51" s="117"/>
      <c r="E51" s="117"/>
      <c r="F51" s="104" t="str">
        <f t="shared" si="10"/>
        <v>1.4</v>
      </c>
      <c r="G51" s="156"/>
      <c r="H51" s="427"/>
      <c r="I51" s="428"/>
      <c r="J51" s="428"/>
      <c r="K51" s="428"/>
      <c r="L51" s="428"/>
      <c r="M51" s="428"/>
      <c r="N51" s="429"/>
    </row>
    <row r="52" spans="1:14" collapsed="1" x14ac:dyDescent="0.25">
      <c r="A52" s="72"/>
      <c r="B52" s="72"/>
      <c r="C52" s="96"/>
      <c r="D52" s="96"/>
      <c r="E52" s="96"/>
      <c r="F52" s="105">
        <v>5</v>
      </c>
      <c r="G52" s="13" t="s">
        <v>17</v>
      </c>
      <c r="H52" s="3" t="s">
        <v>77</v>
      </c>
      <c r="I52" s="7"/>
      <c r="J52" s="162" t="str">
        <f>$J$5</f>
        <v>současný stav</v>
      </c>
      <c r="K52" s="130" t="str">
        <f>$K$5</f>
        <v>současný stav</v>
      </c>
      <c r="L52" s="162" t="str">
        <f>$L$5</f>
        <v>plánovaný stav</v>
      </c>
      <c r="M52" s="86" t="str">
        <f>$M$5</f>
        <v>plánovaný stav</v>
      </c>
      <c r="N52" s="157" t="str">
        <f>$N$5</f>
        <v>pokrok</v>
      </c>
    </row>
    <row r="53" spans="1:14" x14ac:dyDescent="0.25">
      <c r="A53" s="73"/>
      <c r="B53" s="73"/>
      <c r="C53" s="97"/>
      <c r="D53" s="97"/>
      <c r="E53" s="97"/>
      <c r="F53" s="108" t="str">
        <f>G53</f>
        <v>1.5</v>
      </c>
      <c r="G53" s="70" t="str">
        <f>$G$2&amp;F52</f>
        <v>1.5</v>
      </c>
      <c r="H53" s="4" t="s">
        <v>76</v>
      </c>
      <c r="I53" s="12"/>
      <c r="J53" s="163" t="str">
        <f>$J$6</f>
        <v>výběr úrovně</v>
      </c>
      <c r="K53" s="131" t="str">
        <f>$K$6</f>
        <v>bodové hodnocení</v>
      </c>
      <c r="L53" s="163" t="str">
        <f>$L$6</f>
        <v>výběr úrovně</v>
      </c>
      <c r="M53" s="88" t="str">
        <f>$M$6</f>
        <v>bodové hodnocení</v>
      </c>
      <c r="N53" s="158" t="str">
        <f>$N$6</f>
        <v>bodové hodnocení</v>
      </c>
    </row>
    <row r="54" spans="1:14" ht="15.75" thickBot="1" x14ac:dyDescent="0.3">
      <c r="A54" s="74"/>
      <c r="B54" s="74"/>
      <c r="C54" s="101"/>
      <c r="D54" s="101"/>
      <c r="E54" s="101"/>
      <c r="F54" s="104" t="str">
        <f t="shared" si="10"/>
        <v>1.5</v>
      </c>
      <c r="G54" s="14"/>
      <c r="H54" s="15"/>
      <c r="I54" s="8"/>
      <c r="J54" s="164"/>
      <c r="K54" s="132" t="str">
        <f>$K$7</f>
        <v>B</v>
      </c>
      <c r="L54" s="164"/>
      <c r="M54" s="89"/>
      <c r="N54" s="159" t="str">
        <f>$N$7</f>
        <v>C</v>
      </c>
    </row>
    <row r="55" spans="1:14" x14ac:dyDescent="0.25">
      <c r="A55" s="69">
        <f>IF(G55="a.",0,IF(G55="b.",1,IF(G55="c.",2,IF(G55="d.",3,IF(G55="e.",4,IF(G55="f.",5,IF(G55="g.",6,IF(G55="h.",7,IF(G55="i.",8,IF(G55="j.",9,""))))))))))</f>
        <v>0</v>
      </c>
      <c r="B55" s="103">
        <f>MAX(A55:A59)</f>
        <v>3</v>
      </c>
      <c r="C55" s="98">
        <f>SUM(K55:K59)</f>
        <v>0</v>
      </c>
      <c r="D55" s="98">
        <f>SUM(M55:M59)</f>
        <v>0</v>
      </c>
      <c r="E55" s="98">
        <f>D55-C55</f>
        <v>0</v>
      </c>
      <c r="F55" s="104" t="str">
        <f t="shared" si="10"/>
        <v>1.5</v>
      </c>
      <c r="G55" s="2" t="s">
        <v>6</v>
      </c>
      <c r="H55" s="1" t="s">
        <v>75</v>
      </c>
      <c r="I55" s="79">
        <f>IF(A55&lt;&gt;"",A55/B55*2,"")</f>
        <v>0</v>
      </c>
      <c r="J55" s="218" t="s">
        <v>298</v>
      </c>
      <c r="K55" s="133">
        <f>IF(J55="","",I55)</f>
        <v>0</v>
      </c>
      <c r="L55" s="218" t="s">
        <v>298</v>
      </c>
      <c r="M55" s="90">
        <f>IF(L55="","",I55)</f>
        <v>0</v>
      </c>
      <c r="N55" s="160">
        <f>IF(AND(M55&lt;&gt;"",E55&gt;=0),E55,"")</f>
        <v>0</v>
      </c>
    </row>
    <row r="56" spans="1:14" x14ac:dyDescent="0.25">
      <c r="A56" s="69">
        <f>IF(G56="a.",0,IF(G56="b.",1,IF(G56="c.",2,IF(G56="d.",3,IF(G56="e.",4,IF(G56="f.",5,IF(G56="g.",6,IF(G56="h.",7,IF(G56="i.",8,IF(G56="j.",9,""))))))))))</f>
        <v>1</v>
      </c>
      <c r="B56" s="99">
        <f t="shared" ref="B56" si="12">B55</f>
        <v>3</v>
      </c>
      <c r="C56" s="93"/>
      <c r="D56" s="93"/>
      <c r="E56" s="99">
        <f>E55</f>
        <v>0</v>
      </c>
      <c r="F56" s="104" t="str">
        <f t="shared" si="10"/>
        <v>1.5</v>
      </c>
      <c r="G56" s="2" t="s">
        <v>8</v>
      </c>
      <c r="H56" s="1" t="s">
        <v>74</v>
      </c>
      <c r="I56" s="79">
        <f>IF(A56&lt;&gt;"",A56/B56*2,"")</f>
        <v>0.66666666666666663</v>
      </c>
      <c r="J56" s="219"/>
      <c r="K56" s="134" t="str">
        <f>IF(J56="","",I56)</f>
        <v/>
      </c>
      <c r="L56" s="219"/>
      <c r="M56" s="91" t="str">
        <f>IF(L56="","",I56)</f>
        <v/>
      </c>
      <c r="N56" s="161" t="str">
        <f>IF(AND(M56&lt;&gt;"",E56&gt;=0),E56,"")</f>
        <v/>
      </c>
    </row>
    <row r="57" spans="1:14" x14ac:dyDescent="0.25">
      <c r="A57" s="69">
        <f>IF(G57="a.",0,IF(G57="b.",1,IF(G57="c.",2,IF(G57="d.",3,IF(G57="e.",4,IF(G57="f.",5,IF(G57="g.",6,IF(G57="h.",7,IF(G57="i.",8,IF(G57="j.",9,""))))))))))</f>
        <v>2</v>
      </c>
      <c r="B57" s="99">
        <f>B55</f>
        <v>3</v>
      </c>
      <c r="C57" s="93"/>
      <c r="D57" s="93"/>
      <c r="E57" s="99">
        <f>E55</f>
        <v>0</v>
      </c>
      <c r="F57" s="104" t="str">
        <f t="shared" si="10"/>
        <v>1.5</v>
      </c>
      <c r="G57" s="2" t="s">
        <v>10</v>
      </c>
      <c r="H57" s="1" t="s">
        <v>70</v>
      </c>
      <c r="I57" s="79">
        <f>IF(A57&lt;&gt;"",A57/B57*2,"")</f>
        <v>1.3333333333333333</v>
      </c>
      <c r="J57" s="219"/>
      <c r="K57" s="134" t="str">
        <f>IF(J57="","",I57)</f>
        <v/>
      </c>
      <c r="L57" s="219"/>
      <c r="M57" s="91" t="str">
        <f>IF(L57="","",I57)</f>
        <v/>
      </c>
      <c r="N57" s="161" t="str">
        <f>IF(AND(M57&lt;&gt;"",E57&gt;=0),E57,"")</f>
        <v/>
      </c>
    </row>
    <row r="58" spans="1:14" x14ac:dyDescent="0.25">
      <c r="A58" s="69">
        <f>IF(G58="a.",0,IF(G58="b.",1,IF(G58="c.",2,IF(G58="d.",3,IF(G58="e.",4,IF(G58="f.",5,IF(G58="g.",6,IF(G58="h.",7,IF(G58="i.",8,IF(G58="j.",9,""))))))))))</f>
        <v>3</v>
      </c>
      <c r="B58" s="99">
        <f>B56</f>
        <v>3</v>
      </c>
      <c r="C58" s="93"/>
      <c r="D58" s="93"/>
      <c r="E58" s="99">
        <f>E56</f>
        <v>0</v>
      </c>
      <c r="F58" s="104" t="str">
        <f t="shared" si="10"/>
        <v>1.5</v>
      </c>
      <c r="G58" s="2" t="s">
        <v>68</v>
      </c>
      <c r="H58" s="1" t="s">
        <v>69</v>
      </c>
      <c r="I58" s="79">
        <f>IF(A58&lt;&gt;"",A58/B58*2,"")</f>
        <v>2</v>
      </c>
      <c r="J58" s="219"/>
      <c r="K58" s="134" t="str">
        <f>IF(J58="","",I58)</f>
        <v/>
      </c>
      <c r="L58" s="219"/>
      <c r="M58" s="91" t="str">
        <f>IF(L58="","",I58)</f>
        <v/>
      </c>
      <c r="N58" s="161" t="str">
        <f>IF(AND(M58&lt;&gt;"",E58&gt;=0),E58,"")</f>
        <v/>
      </c>
    </row>
    <row r="59" spans="1:14" x14ac:dyDescent="0.25">
      <c r="A59" s="111"/>
      <c r="B59" s="111"/>
      <c r="C59" s="112"/>
      <c r="D59" s="112"/>
      <c r="E59" s="112"/>
      <c r="F59" s="104" t="str">
        <f t="shared" si="10"/>
        <v>1.5</v>
      </c>
      <c r="G59" s="135" t="str">
        <f>"odd. B "&amp;F59</f>
        <v>odd. B 1.5</v>
      </c>
      <c r="H59" s="136" t="s">
        <v>18</v>
      </c>
      <c r="I59" s="137"/>
      <c r="J59" s="137"/>
      <c r="K59" s="138"/>
      <c r="L59" s="137"/>
      <c r="M59" s="138"/>
      <c r="N59" s="139"/>
    </row>
    <row r="60" spans="1:14" x14ac:dyDescent="0.25">
      <c r="A60" s="119"/>
      <c r="B60" s="119"/>
      <c r="C60" s="119"/>
      <c r="D60" s="119"/>
      <c r="E60" s="119"/>
      <c r="F60" s="104" t="str">
        <f t="shared" si="10"/>
        <v>1.5</v>
      </c>
      <c r="G60" s="140"/>
      <c r="H60" s="424"/>
      <c r="I60" s="425"/>
      <c r="J60" s="425"/>
      <c r="K60" s="425"/>
      <c r="L60" s="425"/>
      <c r="M60" s="425"/>
      <c r="N60" s="426"/>
    </row>
    <row r="61" spans="1:14" x14ac:dyDescent="0.25">
      <c r="A61" s="16"/>
      <c r="B61" s="16"/>
      <c r="C61" s="100"/>
      <c r="D61" s="100"/>
      <c r="E61" s="100"/>
      <c r="F61" s="104" t="str">
        <f t="shared" si="10"/>
        <v>1.5</v>
      </c>
      <c r="G61" s="151" t="str">
        <f>"odd. C "&amp;F61</f>
        <v>odd. C 1.5</v>
      </c>
      <c r="H61" s="152" t="s">
        <v>19</v>
      </c>
      <c r="I61" s="153"/>
      <c r="J61" s="153"/>
      <c r="K61" s="154"/>
      <c r="L61" s="153"/>
      <c r="M61" s="154"/>
      <c r="N61" s="155"/>
    </row>
    <row r="62" spans="1:14" ht="15.75" thickBot="1" x14ac:dyDescent="0.3">
      <c r="A62" s="117"/>
      <c r="B62" s="117"/>
      <c r="C62" s="117"/>
      <c r="D62" s="117"/>
      <c r="E62" s="117"/>
      <c r="F62" s="104" t="str">
        <f t="shared" si="10"/>
        <v>1.5</v>
      </c>
      <c r="G62" s="156"/>
      <c r="H62" s="427"/>
      <c r="I62" s="428"/>
      <c r="J62" s="428"/>
      <c r="K62" s="428"/>
      <c r="L62" s="428"/>
      <c r="M62" s="428"/>
      <c r="N62" s="429"/>
    </row>
    <row r="63" spans="1:14" collapsed="1" x14ac:dyDescent="0.25">
      <c r="A63" s="72"/>
      <c r="B63" s="72"/>
      <c r="C63" s="96"/>
      <c r="D63" s="96"/>
      <c r="E63" s="96"/>
      <c r="F63" s="105">
        <v>6</v>
      </c>
      <c r="G63" s="13" t="s">
        <v>17</v>
      </c>
      <c r="H63" s="3" t="s">
        <v>73</v>
      </c>
      <c r="I63" s="7"/>
      <c r="J63" s="162" t="str">
        <f>$J$5</f>
        <v>současný stav</v>
      </c>
      <c r="K63" s="130" t="str">
        <f>$K$5</f>
        <v>současný stav</v>
      </c>
      <c r="L63" s="162" t="str">
        <f>$L$5</f>
        <v>plánovaný stav</v>
      </c>
      <c r="M63" s="86" t="str">
        <f>$M$5</f>
        <v>plánovaný stav</v>
      </c>
      <c r="N63" s="157" t="str">
        <f>$N$5</f>
        <v>pokrok</v>
      </c>
    </row>
    <row r="64" spans="1:14" x14ac:dyDescent="0.25">
      <c r="A64" s="73"/>
      <c r="B64" s="73"/>
      <c r="C64" s="97"/>
      <c r="D64" s="97"/>
      <c r="E64" s="97"/>
      <c r="F64" s="108" t="str">
        <f>G64</f>
        <v>1.6</v>
      </c>
      <c r="G64" s="70" t="str">
        <f>$G$2&amp;F63</f>
        <v>1.6</v>
      </c>
      <c r="H64" s="4" t="s">
        <v>72</v>
      </c>
      <c r="I64" s="12"/>
      <c r="J64" s="163" t="str">
        <f>$J$6</f>
        <v>výběr úrovně</v>
      </c>
      <c r="K64" s="131" t="str">
        <f>$K$6</f>
        <v>bodové hodnocení</v>
      </c>
      <c r="L64" s="163" t="str">
        <f>$L$6</f>
        <v>výběr úrovně</v>
      </c>
      <c r="M64" s="88" t="str">
        <f>$M$6</f>
        <v>bodové hodnocení</v>
      </c>
      <c r="N64" s="158" t="str">
        <f>$N$6</f>
        <v>bodové hodnocení</v>
      </c>
    </row>
    <row r="65" spans="1:14" ht="15.75" thickBot="1" x14ac:dyDescent="0.3">
      <c r="A65" s="74"/>
      <c r="B65" s="74"/>
      <c r="C65" s="101"/>
      <c r="D65" s="101"/>
      <c r="E65" s="101"/>
      <c r="F65" s="104" t="str">
        <f t="shared" ref="F65:F73" si="13">F64</f>
        <v>1.6</v>
      </c>
      <c r="G65" s="14"/>
      <c r="H65" s="15"/>
      <c r="I65" s="8"/>
      <c r="J65" s="164"/>
      <c r="K65" s="132" t="str">
        <f>$K$7</f>
        <v>B</v>
      </c>
      <c r="L65" s="164"/>
      <c r="M65" s="89"/>
      <c r="N65" s="159" t="str">
        <f>$N$7</f>
        <v>C</v>
      </c>
    </row>
    <row r="66" spans="1:14" x14ac:dyDescent="0.25">
      <c r="A66" s="69">
        <f>IF(G66="a.",0,IF(G66="b.",1,IF(G66="c.",2,IF(G66="d.",3,IF(G66="e.",4,IF(G66="f.",5,IF(G66="g.",6,IF(G66="h.",7,IF(G66="i.",8,IF(G66="j.",9,""))))))))))</f>
        <v>0</v>
      </c>
      <c r="B66" s="103">
        <f>MAX(A66:A70)</f>
        <v>3</v>
      </c>
      <c r="C66" s="98">
        <f>SUM(K66:K70)</f>
        <v>2</v>
      </c>
      <c r="D66" s="98">
        <f>SUM(M66:M70)</f>
        <v>2</v>
      </c>
      <c r="E66" s="98">
        <f>D66-C66</f>
        <v>0</v>
      </c>
      <c r="F66" s="104" t="str">
        <f t="shared" si="13"/>
        <v>1.6</v>
      </c>
      <c r="G66" s="2" t="s">
        <v>6</v>
      </c>
      <c r="H66" s="1" t="s">
        <v>71</v>
      </c>
      <c r="I66" s="79">
        <f>IF(A66&lt;&gt;"",A66/B66*2,"")</f>
        <v>0</v>
      </c>
      <c r="J66" s="218"/>
      <c r="K66" s="133" t="str">
        <f>IF(J66="","",I66)</f>
        <v/>
      </c>
      <c r="L66" s="218"/>
      <c r="M66" s="90" t="str">
        <f>IF(L66="","",I66)</f>
        <v/>
      </c>
      <c r="N66" s="160" t="str">
        <f>IF(AND(M66&lt;&gt;"",E66&gt;=0),E66,"")</f>
        <v/>
      </c>
    </row>
    <row r="67" spans="1:14" x14ac:dyDescent="0.25">
      <c r="A67" s="69">
        <f>IF(G67="a.",0,IF(G67="b.",1,IF(G67="c.",2,IF(G67="d.",3,IF(G67="e.",4,IF(G67="f.",5,IF(G67="g.",6,IF(G67="h.",7,IF(G67="i.",8,IF(G67="j.",9,""))))))))))</f>
        <v>1</v>
      </c>
      <c r="B67" s="99">
        <f t="shared" ref="B67" si="14">B66</f>
        <v>3</v>
      </c>
      <c r="C67" s="93"/>
      <c r="D67" s="93"/>
      <c r="E67" s="99">
        <f>E66</f>
        <v>0</v>
      </c>
      <c r="F67" s="104" t="str">
        <f t="shared" si="13"/>
        <v>1.6</v>
      </c>
      <c r="G67" s="2" t="s">
        <v>8</v>
      </c>
      <c r="H67" s="1" t="s">
        <v>70</v>
      </c>
      <c r="I67" s="79">
        <f>IF(A67&lt;&gt;"",A67/B67*2,"")</f>
        <v>0.66666666666666663</v>
      </c>
      <c r="J67" s="219"/>
      <c r="K67" s="134" t="str">
        <f>IF(J67="","",I67)</f>
        <v/>
      </c>
      <c r="L67" s="219"/>
      <c r="M67" s="91" t="str">
        <f>IF(L67="","",I67)</f>
        <v/>
      </c>
      <c r="N67" s="161" t="str">
        <f>IF(AND(M67&lt;&gt;"",E67&gt;=0),E67,"")</f>
        <v/>
      </c>
    </row>
    <row r="68" spans="1:14" x14ac:dyDescent="0.25">
      <c r="A68" s="69">
        <f>IF(G68="a.",0,IF(G68="b.",1,IF(G68="c.",2,IF(G68="d.",3,IF(G68="e.",4,IF(G68="f.",5,IF(G68="g.",6,IF(G68="h.",7,IF(G68="i.",8,IF(G68="j.",9,""))))))))))</f>
        <v>2</v>
      </c>
      <c r="B68" s="99">
        <f>B66</f>
        <v>3</v>
      </c>
      <c r="C68" s="93"/>
      <c r="D68" s="93"/>
      <c r="E68" s="99">
        <f>E66</f>
        <v>0</v>
      </c>
      <c r="F68" s="104" t="str">
        <f t="shared" si="13"/>
        <v>1.6</v>
      </c>
      <c r="G68" s="2" t="s">
        <v>10</v>
      </c>
      <c r="H68" s="1" t="s">
        <v>69</v>
      </c>
      <c r="I68" s="79">
        <f>IF(A68&lt;&gt;"",A68/B68*2,"")</f>
        <v>1.3333333333333333</v>
      </c>
      <c r="J68" s="219"/>
      <c r="K68" s="134" t="str">
        <f>IF(J68="","",I68)</f>
        <v/>
      </c>
      <c r="L68" s="219"/>
      <c r="M68" s="91" t="str">
        <f>IF(L68="","",I68)</f>
        <v/>
      </c>
      <c r="N68" s="161" t="str">
        <f>IF(AND(M68&lt;&gt;"",E68&gt;=0),E68,"")</f>
        <v/>
      </c>
    </row>
    <row r="69" spans="1:14" x14ac:dyDescent="0.25">
      <c r="A69" s="69">
        <f>IF(G69="a.",0,IF(G69="b.",1,IF(G69="c.",2,IF(G69="d.",3,IF(G69="e.",4,IF(G69="f.",5,IF(G69="g.",6,IF(G69="h.",7,IF(G69="i.",8,IF(G69="j.",9,""))))))))))</f>
        <v>3</v>
      </c>
      <c r="B69" s="99">
        <f>B67</f>
        <v>3</v>
      </c>
      <c r="C69" s="93"/>
      <c r="D69" s="93"/>
      <c r="E69" s="99">
        <f>E67</f>
        <v>0</v>
      </c>
      <c r="F69" s="104" t="str">
        <f t="shared" si="13"/>
        <v>1.6</v>
      </c>
      <c r="G69" s="2" t="s">
        <v>68</v>
      </c>
      <c r="H69" s="1" t="s">
        <v>67</v>
      </c>
      <c r="I69" s="79">
        <f>IF(A69&lt;&gt;"",A69/B69*2,"")</f>
        <v>2</v>
      </c>
      <c r="J69" s="219" t="s">
        <v>298</v>
      </c>
      <c r="K69" s="134">
        <f>IF(J69="","",I69)</f>
        <v>2</v>
      </c>
      <c r="L69" s="219" t="s">
        <v>298</v>
      </c>
      <c r="M69" s="91">
        <f>IF(L69="","",I69)</f>
        <v>2</v>
      </c>
      <c r="N69" s="161">
        <f>IF(AND(M69&lt;&gt;"",E69&gt;=0),E69,"")</f>
        <v>0</v>
      </c>
    </row>
    <row r="70" spans="1:14" x14ac:dyDescent="0.25">
      <c r="A70" s="111"/>
      <c r="B70" s="111"/>
      <c r="C70" s="112"/>
      <c r="D70" s="112"/>
      <c r="E70" s="112"/>
      <c r="F70" s="104" t="str">
        <f t="shared" si="13"/>
        <v>1.6</v>
      </c>
      <c r="G70" s="135" t="str">
        <f>"odd. B "&amp;F70</f>
        <v>odd. B 1.6</v>
      </c>
      <c r="H70" s="136" t="s">
        <v>18</v>
      </c>
      <c r="I70" s="137"/>
      <c r="J70" s="137"/>
      <c r="K70" s="138"/>
      <c r="L70" s="137"/>
      <c r="M70" s="138"/>
      <c r="N70" s="139"/>
    </row>
    <row r="71" spans="1:14" x14ac:dyDescent="0.25">
      <c r="A71" s="119"/>
      <c r="B71" s="119"/>
      <c r="C71" s="119"/>
      <c r="D71" s="119"/>
      <c r="E71" s="119"/>
      <c r="F71" s="104" t="str">
        <f t="shared" si="13"/>
        <v>1.6</v>
      </c>
      <c r="G71" s="140"/>
      <c r="H71" s="424"/>
      <c r="I71" s="425"/>
      <c r="J71" s="425"/>
      <c r="K71" s="425"/>
      <c r="L71" s="425"/>
      <c r="M71" s="425"/>
      <c r="N71" s="426"/>
    </row>
    <row r="72" spans="1:14" x14ac:dyDescent="0.25">
      <c r="A72" s="16"/>
      <c r="B72" s="16"/>
      <c r="C72" s="100"/>
      <c r="D72" s="100"/>
      <c r="E72" s="100"/>
      <c r="F72" s="104" t="str">
        <f t="shared" si="13"/>
        <v>1.6</v>
      </c>
      <c r="G72" s="151" t="str">
        <f>"odd. C "&amp;F72</f>
        <v>odd. C 1.6</v>
      </c>
      <c r="H72" s="152" t="s">
        <v>19</v>
      </c>
      <c r="I72" s="153"/>
      <c r="J72" s="153"/>
      <c r="K72" s="154"/>
      <c r="L72" s="153"/>
      <c r="M72" s="154"/>
      <c r="N72" s="155"/>
    </row>
    <row r="73" spans="1:14" ht="15.75" thickBot="1" x14ac:dyDescent="0.3">
      <c r="A73" s="117"/>
      <c r="B73" s="117"/>
      <c r="C73" s="117"/>
      <c r="D73" s="117"/>
      <c r="E73" s="117"/>
      <c r="F73" s="104" t="str">
        <f t="shared" si="13"/>
        <v>1.6</v>
      </c>
      <c r="G73" s="156"/>
      <c r="H73" s="427"/>
      <c r="I73" s="428"/>
      <c r="J73" s="428"/>
      <c r="K73" s="428"/>
      <c r="L73" s="428"/>
      <c r="M73" s="428"/>
      <c r="N73" s="429"/>
    </row>
    <row r="74" spans="1:14" collapsed="1" x14ac:dyDescent="0.25">
      <c r="A74" s="72"/>
      <c r="B74" s="72"/>
      <c r="C74" s="96"/>
      <c r="D74" s="96"/>
      <c r="E74" s="96"/>
      <c r="F74" s="105">
        <v>7</v>
      </c>
      <c r="G74" s="13" t="s">
        <v>17</v>
      </c>
      <c r="H74" s="3" t="s">
        <v>66</v>
      </c>
      <c r="I74" s="7"/>
      <c r="J74" s="162" t="str">
        <f>$J$5</f>
        <v>současný stav</v>
      </c>
      <c r="K74" s="130" t="str">
        <f>$K$5</f>
        <v>současný stav</v>
      </c>
      <c r="L74" s="162" t="str">
        <f>$L$5</f>
        <v>plánovaný stav</v>
      </c>
      <c r="M74" s="86" t="str">
        <f>$M$5</f>
        <v>plánovaný stav</v>
      </c>
      <c r="N74" s="157" t="str">
        <f>$N$5</f>
        <v>pokrok</v>
      </c>
    </row>
    <row r="75" spans="1:14" x14ac:dyDescent="0.25">
      <c r="A75" s="73"/>
      <c r="B75" s="73"/>
      <c r="C75" s="97"/>
      <c r="D75" s="97"/>
      <c r="E75" s="97"/>
      <c r="F75" s="108" t="str">
        <f>G75</f>
        <v>1.7</v>
      </c>
      <c r="G75" s="70" t="str">
        <f>$G$2&amp;F74</f>
        <v>1.7</v>
      </c>
      <c r="H75" s="4" t="s">
        <v>65</v>
      </c>
      <c r="I75" s="12"/>
      <c r="J75" s="163" t="str">
        <f>$J$6</f>
        <v>výběr úrovně</v>
      </c>
      <c r="K75" s="131" t="str">
        <f>$K$6</f>
        <v>bodové hodnocení</v>
      </c>
      <c r="L75" s="163" t="str">
        <f>$L$6</f>
        <v>výběr úrovně</v>
      </c>
      <c r="M75" s="88" t="str">
        <f>$M$6</f>
        <v>bodové hodnocení</v>
      </c>
      <c r="N75" s="158" t="str">
        <f>$N$6</f>
        <v>bodové hodnocení</v>
      </c>
    </row>
    <row r="76" spans="1:14" ht="15.75" thickBot="1" x14ac:dyDescent="0.3">
      <c r="A76" s="74"/>
      <c r="B76" s="74"/>
      <c r="C76" s="101"/>
      <c r="D76" s="101"/>
      <c r="E76" s="101"/>
      <c r="F76" s="104" t="str">
        <f t="shared" ref="F76:F83" si="15">F75</f>
        <v>1.7</v>
      </c>
      <c r="G76" s="14"/>
      <c r="H76" s="15"/>
      <c r="I76" s="8"/>
      <c r="J76" s="164"/>
      <c r="K76" s="132" t="str">
        <f>$K$7</f>
        <v>B</v>
      </c>
      <c r="L76" s="164"/>
      <c r="M76" s="89"/>
      <c r="N76" s="159" t="str">
        <f>$N$7</f>
        <v>C</v>
      </c>
    </row>
    <row r="77" spans="1:14" x14ac:dyDescent="0.25">
      <c r="A77" s="69">
        <f>IF(G77="a.",0,IF(G77="b.",1,IF(G77="c.",2,IF(G77="d.",3,IF(G77="e.",4,IF(G77="f.",5,IF(G77="g.",6,IF(G77="h.",7,IF(G77="i.",8,IF(G77="j.",9,""))))))))))</f>
        <v>0</v>
      </c>
      <c r="B77" s="103">
        <f>MAX(A77:A80)</f>
        <v>2</v>
      </c>
      <c r="C77" s="98">
        <f>SUM(K77:K80)</f>
        <v>0</v>
      </c>
      <c r="D77" s="98">
        <f>SUM(M77:M80)</f>
        <v>1</v>
      </c>
      <c r="E77" s="98">
        <f>D77-C77</f>
        <v>1</v>
      </c>
      <c r="F77" s="104" t="str">
        <f t="shared" si="15"/>
        <v>1.7</v>
      </c>
      <c r="G77" s="2" t="s">
        <v>6</v>
      </c>
      <c r="H77" s="1" t="s">
        <v>64</v>
      </c>
      <c r="I77" s="79">
        <f>IF(A77&lt;&gt;"",A77/B77*2,"")</f>
        <v>0</v>
      </c>
      <c r="J77" s="218" t="s">
        <v>298</v>
      </c>
      <c r="K77" s="133">
        <f>IF(J77="","",I77)</f>
        <v>0</v>
      </c>
      <c r="L77" s="218"/>
      <c r="M77" s="90" t="str">
        <f>IF(L77="","",I77)</f>
        <v/>
      </c>
      <c r="N77" s="160" t="str">
        <f>IF(AND(M77&lt;&gt;"",E77&gt;=0),E77,"")</f>
        <v/>
      </c>
    </row>
    <row r="78" spans="1:14" x14ac:dyDescent="0.25">
      <c r="A78" s="69">
        <f>IF(G78="a.",0,IF(G78="b.",1,IF(G78="c.",2,IF(G78="d.",3,IF(G78="e.",4,IF(G78="f.",5,IF(G78="g.",6,IF(G78="h.",7,IF(G78="i.",8,IF(G78="j.",9,""))))))))))</f>
        <v>1</v>
      </c>
      <c r="B78" s="99">
        <f t="shared" ref="B78:B79" si="16">B77</f>
        <v>2</v>
      </c>
      <c r="C78" s="93"/>
      <c r="D78" s="93"/>
      <c r="E78" s="99">
        <f>E77</f>
        <v>1</v>
      </c>
      <c r="F78" s="104" t="str">
        <f t="shared" si="15"/>
        <v>1.7</v>
      </c>
      <c r="G78" s="2" t="s">
        <v>8</v>
      </c>
      <c r="H78" s="1" t="s">
        <v>63</v>
      </c>
      <c r="I78" s="79">
        <f>IF(A78&lt;&gt;"",A78/B78*2,"")</f>
        <v>1</v>
      </c>
      <c r="J78" s="219"/>
      <c r="K78" s="134" t="str">
        <f>IF(J78="","",I78)</f>
        <v/>
      </c>
      <c r="L78" s="219" t="s">
        <v>298</v>
      </c>
      <c r="M78" s="91">
        <f>IF(L78="","",I78)</f>
        <v>1</v>
      </c>
      <c r="N78" s="161">
        <f>IF(AND(M78&lt;&gt;"",E78&gt;=0),E78,"")</f>
        <v>1</v>
      </c>
    </row>
    <row r="79" spans="1:14" x14ac:dyDescent="0.25">
      <c r="A79" s="69">
        <f>IF(G79="a.",0,IF(G79="b.",1,IF(G79="c.",2,IF(G79="d.",3,IF(G79="e.",4,IF(G79="f.",5,IF(G79="g.",6,IF(G79="h.",7,IF(G79="i.",8,IF(G79="j.",9,""))))))))))</f>
        <v>2</v>
      </c>
      <c r="B79" s="99">
        <f t="shared" si="16"/>
        <v>2</v>
      </c>
      <c r="C79" s="93"/>
      <c r="D79" s="93"/>
      <c r="E79" s="99">
        <f>E78</f>
        <v>1</v>
      </c>
      <c r="F79" s="104" t="str">
        <f t="shared" si="15"/>
        <v>1.7</v>
      </c>
      <c r="G79" s="2" t="s">
        <v>10</v>
      </c>
      <c r="H79" s="1" t="s">
        <v>62</v>
      </c>
      <c r="I79" s="79">
        <f>IF(A79&lt;&gt;"",A79/B79*2,"")</f>
        <v>2</v>
      </c>
      <c r="J79" s="219"/>
      <c r="K79" s="134" t="str">
        <f>IF(J79="","",I79)</f>
        <v/>
      </c>
      <c r="L79" s="219"/>
      <c r="M79" s="91" t="str">
        <f>IF(L79="","",I79)</f>
        <v/>
      </c>
      <c r="N79" s="161" t="str">
        <f>IF(AND(M79&lt;&gt;"",E79&gt;=0),E79,"")</f>
        <v/>
      </c>
    </row>
    <row r="80" spans="1:14" x14ac:dyDescent="0.25">
      <c r="A80" s="111"/>
      <c r="B80" s="111"/>
      <c r="C80" s="112"/>
      <c r="D80" s="112"/>
      <c r="E80" s="112"/>
      <c r="F80" s="104" t="str">
        <f t="shared" si="15"/>
        <v>1.7</v>
      </c>
      <c r="G80" s="135" t="str">
        <f>"odd. B "&amp;F80</f>
        <v>odd. B 1.7</v>
      </c>
      <c r="H80" s="136" t="s">
        <v>18</v>
      </c>
      <c r="I80" s="137"/>
      <c r="J80" s="137"/>
      <c r="K80" s="138"/>
      <c r="L80" s="137"/>
      <c r="M80" s="138"/>
      <c r="N80" s="139"/>
    </row>
    <row r="81" spans="1:14" x14ac:dyDescent="0.25">
      <c r="A81" s="119"/>
      <c r="B81" s="119"/>
      <c r="C81" s="119"/>
      <c r="D81" s="119"/>
      <c r="E81" s="119"/>
      <c r="F81" s="104" t="str">
        <f t="shared" si="15"/>
        <v>1.7</v>
      </c>
      <c r="G81" s="140"/>
      <c r="H81" s="424"/>
      <c r="I81" s="425"/>
      <c r="J81" s="425"/>
      <c r="K81" s="425"/>
      <c r="L81" s="425"/>
      <c r="M81" s="425"/>
      <c r="N81" s="426"/>
    </row>
    <row r="82" spans="1:14" x14ac:dyDescent="0.25">
      <c r="A82" s="16"/>
      <c r="B82" s="16"/>
      <c r="C82" s="100"/>
      <c r="D82" s="100"/>
      <c r="E82" s="100"/>
      <c r="F82" s="104" t="str">
        <f t="shared" si="15"/>
        <v>1.7</v>
      </c>
      <c r="G82" s="151" t="str">
        <f>"odd. C "&amp;F82</f>
        <v>odd. C 1.7</v>
      </c>
      <c r="H82" s="152" t="s">
        <v>19</v>
      </c>
      <c r="I82" s="153"/>
      <c r="J82" s="153"/>
      <c r="K82" s="154"/>
      <c r="L82" s="153"/>
      <c r="M82" s="154"/>
      <c r="N82" s="155"/>
    </row>
    <row r="83" spans="1:14" ht="15.75" thickBot="1" x14ac:dyDescent="0.3">
      <c r="A83" s="117"/>
      <c r="B83" s="117"/>
      <c r="C83" s="117"/>
      <c r="D83" s="117"/>
      <c r="E83" s="117"/>
      <c r="F83" s="104" t="str">
        <f t="shared" si="15"/>
        <v>1.7</v>
      </c>
      <c r="G83" s="156"/>
      <c r="H83" s="427"/>
      <c r="I83" s="428"/>
      <c r="J83" s="428"/>
      <c r="K83" s="428"/>
      <c r="L83" s="428"/>
      <c r="M83" s="428"/>
      <c r="N83" s="429"/>
    </row>
  </sheetData>
  <sheetProtection algorithmName="SHA-512" hashValue="U/39BKP3z+ex4dg/mxTTHnb7MbELA6La1a8ey4LpIMRQIeF0jtVUjX8KSWOheq5pF7jCotbr6b/v2n7x5HFDsA==" saltValue="Jfk8ADHcPCpsWrv853llaw==" spinCount="100000" sheet="1" objects="1" scenarios="1" formatCells="0"/>
  <mergeCells count="17">
    <mergeCell ref="G1:N1"/>
    <mergeCell ref="J2:N2"/>
    <mergeCell ref="J9:N9"/>
    <mergeCell ref="H19:N19"/>
    <mergeCell ref="H21:N21"/>
    <mergeCell ref="H29:N29"/>
    <mergeCell ref="H31:N31"/>
    <mergeCell ref="H39:N39"/>
    <mergeCell ref="H41:N41"/>
    <mergeCell ref="H49:N49"/>
    <mergeCell ref="H81:N81"/>
    <mergeCell ref="H83:N83"/>
    <mergeCell ref="H51:N51"/>
    <mergeCell ref="H60:N60"/>
    <mergeCell ref="H62:N62"/>
    <mergeCell ref="H71:N71"/>
    <mergeCell ref="H73:N73"/>
  </mergeCells>
  <conditionalFormatting sqref="I3">
    <cfRule type="expression" dxfId="162" priority="15">
      <formula>$J$8&lt;&gt;COUNTIF(I9:I111,2)</formula>
    </cfRule>
  </conditionalFormatting>
  <conditionalFormatting sqref="I4">
    <cfRule type="expression" dxfId="161" priority="16">
      <formula>$L$8&lt;&gt;COUNTIF(I9:I111,2)</formula>
    </cfRule>
  </conditionalFormatting>
  <conditionalFormatting sqref="H3">
    <cfRule type="expression" dxfId="160" priority="14">
      <formula>$J$8&lt;&gt;COUNTIF(I9:I111,2)</formula>
    </cfRule>
  </conditionalFormatting>
  <conditionalFormatting sqref="G3">
    <cfRule type="expression" dxfId="159" priority="13">
      <formula>$J$8&lt;&gt;COUNTIF(I9:I111,2)</formula>
    </cfRule>
  </conditionalFormatting>
  <conditionalFormatting sqref="J3">
    <cfRule type="expression" dxfId="158" priority="12">
      <formula>$J$8&lt;&gt;COUNTIF(I9:I111,2)</formula>
    </cfRule>
  </conditionalFormatting>
  <conditionalFormatting sqref="K3">
    <cfRule type="expression" dxfId="157" priority="11">
      <formula>$J$8&lt;&gt;COUNTIF(I9:I111,2)</formula>
    </cfRule>
  </conditionalFormatting>
  <conditionalFormatting sqref="L3">
    <cfRule type="expression" dxfId="156" priority="10">
      <formula>$J$8&lt;&gt;COUNTIF(I9:I111,2)</formula>
    </cfRule>
  </conditionalFormatting>
  <conditionalFormatting sqref="M3">
    <cfRule type="expression" dxfId="155" priority="9">
      <formula>$J$8&lt;&gt;COUNTIF(I9:I111,2)</formula>
    </cfRule>
  </conditionalFormatting>
  <conditionalFormatting sqref="N3">
    <cfRule type="expression" dxfId="154" priority="8">
      <formula>$J$8&lt;&gt;COUNTIF(I9:I111,2)</formula>
    </cfRule>
  </conditionalFormatting>
  <conditionalFormatting sqref="H4">
    <cfRule type="expression" dxfId="153" priority="7">
      <formula>$L$8&lt;&gt;COUNTIF(I9:I111,2)</formula>
    </cfRule>
  </conditionalFormatting>
  <conditionalFormatting sqref="G4">
    <cfRule type="expression" dxfId="152" priority="6">
      <formula>$L$8&lt;&gt;COUNTIF(I9:I111,2)</formula>
    </cfRule>
  </conditionalFormatting>
  <conditionalFormatting sqref="J4">
    <cfRule type="expression" dxfId="151" priority="5">
      <formula>$L$8&lt;&gt;COUNTIF(I9:I111,2)</formula>
    </cfRule>
  </conditionalFormatting>
  <conditionalFormatting sqref="K4">
    <cfRule type="expression" dxfId="150" priority="4">
      <formula>$L$8&lt;&gt;COUNTIF(I9:I111,2)</formula>
    </cfRule>
  </conditionalFormatting>
  <conditionalFormatting sqref="L4">
    <cfRule type="expression" dxfId="149" priority="3">
      <formula>$L$8&lt;&gt;COUNTIF(I9:I111,2)</formula>
    </cfRule>
  </conditionalFormatting>
  <conditionalFormatting sqref="M4">
    <cfRule type="expression" dxfId="148" priority="2">
      <formula>$L$8&lt;&gt;COUNTIF(I9:I111,2)</formula>
    </cfRule>
  </conditionalFormatting>
  <conditionalFormatting sqref="N4">
    <cfRule type="expression" dxfId="147" priority="1">
      <formula>$L$8&lt;&gt;COUNTIF(I9:I111,2)</formula>
    </cfRule>
  </conditionalFormatting>
  <pageMargins left="0.70866141732283472" right="0.70866141732283472" top="0.59" bottom="0.47244094488188981" header="0.31496062992125984" footer="0.31496062992125984"/>
  <pageSetup paperSize="9" scale="56" fitToHeight="0" orientation="landscape" r:id="rId1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topLeftCell="G1" zoomScale="85" zoomScaleNormal="85" workbookViewId="0">
      <pane xSplit="1" ySplit="9" topLeftCell="H10" activePane="bottomRight" state="frozen"/>
      <selection activeCell="G1" sqref="G1"/>
      <selection pane="topRight" activeCell="H1" sqref="H1"/>
      <selection pane="bottomLeft" activeCell="G10" sqref="G10"/>
      <selection pane="bottomRight" activeCell="H10" sqref="H10"/>
    </sheetView>
  </sheetViews>
  <sheetFormatPr defaultColWidth="9.140625" defaultRowHeight="15" outlineLevelRow="1" outlineLevelCol="1" x14ac:dyDescent="0.25"/>
  <cols>
    <col min="1" max="1" width="1.85546875" style="5" hidden="1" customWidth="1" outlineLevel="1"/>
    <col min="2" max="2" width="4" style="5" hidden="1" customWidth="1" outlineLevel="1"/>
    <col min="3" max="5" width="4" style="102" hidden="1" customWidth="1" outlineLevel="1"/>
    <col min="6" max="6" width="3.5703125" style="80" hidden="1" customWidth="1" outlineLevel="1"/>
    <col min="7" max="7" width="8.7109375" style="5" customWidth="1" collapsed="1"/>
    <col min="8" max="8" width="130.7109375" style="5" customWidth="1"/>
    <col min="9" max="10" width="15.7109375" style="5" customWidth="1"/>
    <col min="11" max="11" width="15.7109375" style="84" customWidth="1"/>
    <col min="12" max="12" width="15.7109375" style="5" customWidth="1"/>
    <col min="13" max="14" width="15.7109375" style="84" customWidth="1"/>
    <col min="15" max="16384" width="9.140625" style="5"/>
  </cols>
  <sheetData>
    <row r="1" spans="1:14" ht="15.75" thickBot="1" x14ac:dyDescent="0.3">
      <c r="A1" s="118"/>
      <c r="B1" s="118"/>
      <c r="C1" s="118"/>
      <c r="D1" s="118"/>
      <c r="E1" s="118"/>
      <c r="F1" s="118"/>
      <c r="G1" s="430" t="s">
        <v>130</v>
      </c>
      <c r="H1" s="431"/>
      <c r="I1" s="431"/>
      <c r="J1" s="431"/>
      <c r="K1" s="431"/>
      <c r="L1" s="431"/>
      <c r="M1" s="431"/>
      <c r="N1" s="432"/>
    </row>
    <row r="2" spans="1:14" ht="32.25" thickBot="1" x14ac:dyDescent="0.3">
      <c r="A2" s="6"/>
      <c r="B2" s="6"/>
      <c r="C2" s="37"/>
      <c r="D2" s="37"/>
      <c r="E2" s="37"/>
      <c r="F2" s="37"/>
      <c r="G2" s="122" t="s">
        <v>131</v>
      </c>
      <c r="H2" s="123" t="s">
        <v>287</v>
      </c>
      <c r="I2" s="124">
        <f>I3+I4</f>
        <v>10.166666666666666</v>
      </c>
      <c r="J2" s="433" t="str">
        <f>"/    "&amp;I8&amp;" bodů"</f>
        <v>/    12 bodů</v>
      </c>
      <c r="K2" s="433"/>
      <c r="L2" s="433"/>
      <c r="M2" s="433"/>
      <c r="N2" s="434"/>
    </row>
    <row r="3" spans="1:14" ht="21" x14ac:dyDescent="0.25">
      <c r="A3" s="120"/>
      <c r="B3" s="120"/>
      <c r="C3" s="121"/>
      <c r="D3" s="121"/>
      <c r="E3" s="121"/>
      <c r="F3" s="121"/>
      <c r="G3" s="177" t="str">
        <f>"B "&amp;$G$2</f>
        <v>B 2.</v>
      </c>
      <c r="H3" s="178" t="str">
        <f>IF($J$8&lt;&gt;COUNTIF(I9:I111,2),"Počet odpovědí neodpovídá počtu otázek, prosím zkontrolujte!",$H$2)</f>
        <v>Datová integrace – sledování stavu strojů, zakázek 
a výkonu operátorů</v>
      </c>
      <c r="I3" s="129">
        <f>K8</f>
        <v>3.1666666666666665</v>
      </c>
      <c r="J3" s="207" t="str">
        <f>$J$2</f>
        <v>/    12 bodů</v>
      </c>
      <c r="K3" s="207"/>
      <c r="L3" s="207"/>
      <c r="M3" s="207"/>
      <c r="N3" s="208"/>
    </row>
    <row r="4" spans="1:14" ht="21.75" thickBot="1" x14ac:dyDescent="0.3">
      <c r="A4" s="113"/>
      <c r="B4" s="113"/>
      <c r="C4" s="114"/>
      <c r="D4" s="114"/>
      <c r="E4" s="114"/>
      <c r="F4" s="114"/>
      <c r="G4" s="175" t="str">
        <f>"C "&amp;$G$2</f>
        <v>C 2.</v>
      </c>
      <c r="H4" s="176" t="str">
        <f>IF($L$8&lt;&gt;COUNTIF(I9:I111,2),"Počet odpovědí neodpovídá počtu otázek, prosím zkontrolujte!",$H$2)</f>
        <v>Datová integrace – sledování stavu strojů, zakázek 
a výkonu operátorů</v>
      </c>
      <c r="I4" s="141">
        <f>N8</f>
        <v>7</v>
      </c>
      <c r="J4" s="142" t="str">
        <f>$J$2</f>
        <v>/    12 bodů</v>
      </c>
      <c r="K4" s="143"/>
      <c r="L4" s="144"/>
      <c r="M4" s="145"/>
      <c r="N4" s="146"/>
    </row>
    <row r="5" spans="1:14" hidden="1" outlineLevel="1" x14ac:dyDescent="0.25">
      <c r="A5" s="71"/>
      <c r="B5" s="71"/>
      <c r="C5" s="92"/>
      <c r="D5" s="92"/>
      <c r="E5" s="92"/>
      <c r="F5" s="92"/>
      <c r="G5" s="19"/>
      <c r="H5" s="23"/>
      <c r="I5" s="24"/>
      <c r="J5" s="17" t="str">
        <f>'01'!J5</f>
        <v>současný stav</v>
      </c>
      <c r="K5" s="17" t="str">
        <f>'01'!K5</f>
        <v>současný stav</v>
      </c>
      <c r="L5" s="17" t="str">
        <f>'01'!L5</f>
        <v>plánovaný stav</v>
      </c>
      <c r="M5" s="17" t="str">
        <f>'01'!M5</f>
        <v>plánovaný stav</v>
      </c>
      <c r="N5" s="17" t="str">
        <f>'01'!N5</f>
        <v>pokrok</v>
      </c>
    </row>
    <row r="6" spans="1:14" hidden="1" outlineLevel="1" x14ac:dyDescent="0.25">
      <c r="A6" s="11"/>
      <c r="B6" s="11"/>
      <c r="C6" s="93"/>
      <c r="D6" s="93"/>
      <c r="E6" s="93"/>
      <c r="F6" s="93"/>
      <c r="G6" s="20"/>
      <c r="H6" s="25"/>
      <c r="I6" s="26"/>
      <c r="J6" s="18" t="str">
        <f>'01'!J6</f>
        <v>výběr úrovně</v>
      </c>
      <c r="K6" s="18" t="str">
        <f>'01'!K6</f>
        <v>bodové hodnocení</v>
      </c>
      <c r="L6" s="18" t="str">
        <f>'01'!L6</f>
        <v>výběr úrovně</v>
      </c>
      <c r="M6" s="18" t="str">
        <f>'01'!M6</f>
        <v>bodové hodnocení</v>
      </c>
      <c r="N6" s="18" t="str">
        <f>'01'!N6</f>
        <v>bodové hodnocení</v>
      </c>
    </row>
    <row r="7" spans="1:14" hidden="1" outlineLevel="1" x14ac:dyDescent="0.25">
      <c r="A7" s="11"/>
      <c r="B7" s="11"/>
      <c r="C7" s="93"/>
      <c r="D7" s="93"/>
      <c r="E7" s="93"/>
      <c r="F7" s="93"/>
      <c r="G7" s="20"/>
      <c r="H7" s="25"/>
      <c r="I7" s="26"/>
      <c r="J7" s="18"/>
      <c r="K7" s="18" t="str">
        <f>'01'!K7</f>
        <v>B</v>
      </c>
      <c r="L7" s="18"/>
      <c r="M7" s="18"/>
      <c r="N7" s="18" t="str">
        <f>'01'!N7</f>
        <v>C</v>
      </c>
    </row>
    <row r="8" spans="1:14" ht="15.75" hidden="1" outlineLevel="1" thickBot="1" x14ac:dyDescent="0.3">
      <c r="A8" s="27"/>
      <c r="B8" s="27"/>
      <c r="C8" s="94"/>
      <c r="D8" s="94"/>
      <c r="E8" s="94"/>
      <c r="F8" s="94"/>
      <c r="G8" s="21"/>
      <c r="H8" s="27"/>
      <c r="I8" s="38">
        <f>COUNTIF(I9:I72,2)*2</f>
        <v>12</v>
      </c>
      <c r="J8" s="22">
        <f>COUNTIF(J9:J72,"x")</f>
        <v>6</v>
      </c>
      <c r="K8" s="81">
        <f>SUBTOTAL(9,K9:K72)</f>
        <v>3.1666666666666665</v>
      </c>
      <c r="L8" s="22">
        <f>COUNTIF(L9:L72,"x")</f>
        <v>6</v>
      </c>
      <c r="M8" s="81">
        <f>SUBTOTAL(9,M9:M72)</f>
        <v>10.166666666666666</v>
      </c>
      <c r="N8" s="85">
        <f>SUBTOTAL(9,N9:N72)</f>
        <v>7</v>
      </c>
    </row>
    <row r="9" spans="1:14" s="29" customFormat="1" ht="12.75" collapsed="1" thickBot="1" x14ac:dyDescent="0.3">
      <c r="A9" s="28"/>
      <c r="B9" s="28"/>
      <c r="C9" s="95"/>
      <c r="D9" s="95"/>
      <c r="E9" s="95"/>
      <c r="F9" s="95"/>
      <c r="G9" s="125"/>
      <c r="H9" s="128"/>
      <c r="I9" s="127"/>
      <c r="J9" s="435"/>
      <c r="K9" s="435"/>
      <c r="L9" s="435"/>
      <c r="M9" s="435"/>
      <c r="N9" s="436"/>
    </row>
    <row r="10" spans="1:14" x14ac:dyDescent="0.25">
      <c r="A10" s="72"/>
      <c r="B10" s="72"/>
      <c r="C10" s="96"/>
      <c r="D10" s="96"/>
      <c r="E10" s="96"/>
      <c r="F10" s="105">
        <v>1</v>
      </c>
      <c r="G10" s="165" t="s">
        <v>17</v>
      </c>
      <c r="H10" s="166" t="s">
        <v>129</v>
      </c>
      <c r="I10" s="167"/>
      <c r="J10" s="162" t="str">
        <f>$J$5</f>
        <v>současný stav</v>
      </c>
      <c r="K10" s="130" t="str">
        <f>$K$5</f>
        <v>současný stav</v>
      </c>
      <c r="L10" s="162" t="str">
        <f>$L$5</f>
        <v>plánovaný stav</v>
      </c>
      <c r="M10" s="86" t="str">
        <f>$M$5</f>
        <v>plánovaný stav</v>
      </c>
      <c r="N10" s="157" t="str">
        <f>$N$5</f>
        <v>pokrok</v>
      </c>
    </row>
    <row r="11" spans="1:14" x14ac:dyDescent="0.25">
      <c r="A11" s="73"/>
      <c r="B11" s="73"/>
      <c r="C11" s="97"/>
      <c r="D11" s="97"/>
      <c r="E11" s="97"/>
      <c r="F11" s="108" t="str">
        <f>G11</f>
        <v>2.1</v>
      </c>
      <c r="G11" s="168" t="str">
        <f>$G$2&amp;F10</f>
        <v>2.1</v>
      </c>
      <c r="H11" s="169" t="s">
        <v>128</v>
      </c>
      <c r="I11" s="170"/>
      <c r="J11" s="163" t="str">
        <f>$J$6</f>
        <v>výběr úrovně</v>
      </c>
      <c r="K11" s="131" t="str">
        <f>$K$6</f>
        <v>bodové hodnocení</v>
      </c>
      <c r="L11" s="163" t="str">
        <f>$L$6</f>
        <v>výběr úrovně</v>
      </c>
      <c r="M11" s="88" t="str">
        <f>$M$6</f>
        <v>bodové hodnocení</v>
      </c>
      <c r="N11" s="158" t="str">
        <f>$N$6</f>
        <v>bodové hodnocení</v>
      </c>
    </row>
    <row r="12" spans="1:14" ht="15.75" thickBot="1" x14ac:dyDescent="0.3">
      <c r="A12" s="73"/>
      <c r="B12" s="73"/>
      <c r="C12" s="97"/>
      <c r="D12" s="97"/>
      <c r="E12" s="97"/>
      <c r="F12" s="104" t="str">
        <f>F11</f>
        <v>2.1</v>
      </c>
      <c r="G12" s="171"/>
      <c r="H12" s="172"/>
      <c r="I12" s="173"/>
      <c r="J12" s="164"/>
      <c r="K12" s="132" t="str">
        <f>$K$7</f>
        <v>B</v>
      </c>
      <c r="L12" s="164"/>
      <c r="M12" s="89"/>
      <c r="N12" s="159" t="str">
        <f>$N$7</f>
        <v>C</v>
      </c>
    </row>
    <row r="13" spans="1:14" x14ac:dyDescent="0.25">
      <c r="A13" s="69">
        <f>IF(G13="a.",0,IF(G13="b.",1,IF(G13="c.",2,IF(G13="d.",3,IF(G13="e.",4,IF(G13="f.",5,IF(G13="g.",6,IF(G13="h.",7,IF(G13="i.",8,IF(G13="j.",9,""))))))))))</f>
        <v>0</v>
      </c>
      <c r="B13" s="103">
        <f>MAX(A13:A17)</f>
        <v>3</v>
      </c>
      <c r="C13" s="98">
        <f>SUM(K13:K17)</f>
        <v>0</v>
      </c>
      <c r="D13" s="98">
        <f>SUM(M13:M17)</f>
        <v>2</v>
      </c>
      <c r="E13" s="98">
        <f>D13-C13</f>
        <v>2</v>
      </c>
      <c r="F13" s="104" t="str">
        <f t="shared" ref="F13:F20" si="0">F12</f>
        <v>2.1</v>
      </c>
      <c r="G13" s="9" t="s">
        <v>6</v>
      </c>
      <c r="H13" s="77" t="s">
        <v>127</v>
      </c>
      <c r="I13" s="174">
        <f>IF(A13&lt;&gt;"",A13/B13*2,"")</f>
        <v>0</v>
      </c>
      <c r="J13" s="218" t="s">
        <v>298</v>
      </c>
      <c r="K13" s="133">
        <f>IF(J13="","",I13)</f>
        <v>0</v>
      </c>
      <c r="L13" s="218"/>
      <c r="M13" s="90" t="str">
        <f>IF(L13="","",I13)</f>
        <v/>
      </c>
      <c r="N13" s="160" t="str">
        <f>IF(AND(M13&lt;&gt;"",E13&gt;=0),E13,"")</f>
        <v/>
      </c>
    </row>
    <row r="14" spans="1:14" x14ac:dyDescent="0.25">
      <c r="A14" s="69">
        <f>IF(G14="a.",0,IF(G14="b.",1,IF(G14="c.",2,IF(G14="d.",3,IF(G14="e.",4,IF(G14="f.",5,IF(G14="g.",6,IF(G14="h.",7,IF(G14="i.",8,IF(G14="j.",9,""))))))))))</f>
        <v>1</v>
      </c>
      <c r="B14" s="99">
        <f t="shared" ref="B14" si="1">B13</f>
        <v>3</v>
      </c>
      <c r="C14" s="93"/>
      <c r="D14" s="93"/>
      <c r="E14" s="99">
        <f>E13</f>
        <v>2</v>
      </c>
      <c r="F14" s="104" t="str">
        <f t="shared" si="0"/>
        <v>2.1</v>
      </c>
      <c r="G14" s="2" t="s">
        <v>8</v>
      </c>
      <c r="H14" s="78" t="s">
        <v>123</v>
      </c>
      <c r="I14" s="174">
        <f>IF(A14&lt;&gt;"",A14/B14*2,"")</f>
        <v>0.66666666666666663</v>
      </c>
      <c r="J14" s="219"/>
      <c r="K14" s="134" t="str">
        <f>IF(J14="","",I14)</f>
        <v/>
      </c>
      <c r="L14" s="219"/>
      <c r="M14" s="91" t="str">
        <f>IF(L14="","",I14)</f>
        <v/>
      </c>
      <c r="N14" s="161" t="str">
        <f>IF(AND(M14&lt;&gt;"",E14&gt;=0),E14,"")</f>
        <v/>
      </c>
    </row>
    <row r="15" spans="1:14" x14ac:dyDescent="0.25">
      <c r="A15" s="69">
        <f>IF(G15="a.",0,IF(G15="b.",1,IF(G15="c.",2,IF(G15="d.",3,IF(G15="e.",4,IF(G15="f.",5,IF(G15="g.",6,IF(G15="h.",7,IF(G15="i.",8,IF(G15="j.",9,""))))))))))</f>
        <v>2</v>
      </c>
      <c r="B15" s="99">
        <f>B13</f>
        <v>3</v>
      </c>
      <c r="C15" s="93"/>
      <c r="D15" s="93"/>
      <c r="E15" s="99">
        <f>E13</f>
        <v>2</v>
      </c>
      <c r="F15" s="104" t="str">
        <f t="shared" si="0"/>
        <v>2.1</v>
      </c>
      <c r="G15" s="2" t="s">
        <v>10</v>
      </c>
      <c r="H15" s="78" t="s">
        <v>122</v>
      </c>
      <c r="I15" s="174">
        <f>IF(A15&lt;&gt;"",A15/B15*2,"")</f>
        <v>1.3333333333333333</v>
      </c>
      <c r="J15" s="219"/>
      <c r="K15" s="134" t="str">
        <f>IF(J15="","",I15)</f>
        <v/>
      </c>
      <c r="L15" s="219"/>
      <c r="M15" s="91" t="str">
        <f>IF(L15="","",I15)</f>
        <v/>
      </c>
      <c r="N15" s="161" t="str">
        <f>IF(AND(M15&lt;&gt;"",E15&gt;=0),E15,"")</f>
        <v/>
      </c>
    </row>
    <row r="16" spans="1:14" x14ac:dyDescent="0.25">
      <c r="A16" s="69">
        <f>IF(G16="a.",0,IF(G16="b.",1,IF(G16="c.",2,IF(G16="d.",3,IF(G16="e.",4,IF(G16="f.",5,IF(G16="g.",6,IF(G16="h.",7,IF(G16="i.",8,IF(G16="j.",9,""))))))))))</f>
        <v>3</v>
      </c>
      <c r="B16" s="99">
        <f>B14</f>
        <v>3</v>
      </c>
      <c r="C16" s="93"/>
      <c r="D16" s="93"/>
      <c r="E16" s="99">
        <f>E14</f>
        <v>2</v>
      </c>
      <c r="F16" s="104" t="str">
        <f t="shared" si="0"/>
        <v>2.1</v>
      </c>
      <c r="G16" s="2" t="s">
        <v>68</v>
      </c>
      <c r="H16" s="76" t="s">
        <v>126</v>
      </c>
      <c r="I16" s="174">
        <f>IF(A16&lt;&gt;"",A16/B16*2,"")</f>
        <v>2</v>
      </c>
      <c r="J16" s="219"/>
      <c r="K16" s="134" t="str">
        <f t="shared" ref="K16" si="2">IF(J16="","",I16)</f>
        <v/>
      </c>
      <c r="L16" s="219" t="s">
        <v>298</v>
      </c>
      <c r="M16" s="91">
        <f t="shared" ref="M16" si="3">IF(L16="","",I16)</f>
        <v>2</v>
      </c>
      <c r="N16" s="161">
        <f>IF(AND(M16&lt;&gt;"",E16&gt;=0),E16,"")</f>
        <v>2</v>
      </c>
    </row>
    <row r="17" spans="1:14" x14ac:dyDescent="0.25">
      <c r="A17" s="115"/>
      <c r="B17" s="115"/>
      <c r="C17" s="116"/>
      <c r="D17" s="116"/>
      <c r="E17" s="116"/>
      <c r="F17" s="104" t="str">
        <f t="shared" si="0"/>
        <v>2.1</v>
      </c>
      <c r="G17" s="135" t="str">
        <f>"odd. B "&amp;F17</f>
        <v>odd. B 2.1</v>
      </c>
      <c r="H17" s="136" t="s">
        <v>18</v>
      </c>
      <c r="I17" s="137"/>
      <c r="J17" s="137"/>
      <c r="K17" s="138"/>
      <c r="L17" s="137"/>
      <c r="M17" s="138"/>
      <c r="N17" s="139"/>
    </row>
    <row r="18" spans="1:14" x14ac:dyDescent="0.25">
      <c r="A18" s="119"/>
      <c r="B18" s="119"/>
      <c r="C18" s="119"/>
      <c r="D18" s="119"/>
      <c r="E18" s="119"/>
      <c r="F18" s="104" t="str">
        <f t="shared" si="0"/>
        <v>2.1</v>
      </c>
      <c r="G18" s="140"/>
      <c r="H18" s="424"/>
      <c r="I18" s="425"/>
      <c r="J18" s="425"/>
      <c r="K18" s="425"/>
      <c r="L18" s="425"/>
      <c r="M18" s="425"/>
      <c r="N18" s="426"/>
    </row>
    <row r="19" spans="1:14" x14ac:dyDescent="0.25">
      <c r="A19" s="16"/>
      <c r="B19" s="16"/>
      <c r="C19" s="100"/>
      <c r="D19" s="100"/>
      <c r="E19" s="100"/>
      <c r="F19" s="104" t="str">
        <f t="shared" si="0"/>
        <v>2.1</v>
      </c>
      <c r="G19" s="151" t="str">
        <f>"odd. C "&amp;F19</f>
        <v>odd. C 2.1</v>
      </c>
      <c r="H19" s="152" t="s">
        <v>19</v>
      </c>
      <c r="I19" s="153"/>
      <c r="J19" s="153"/>
      <c r="K19" s="154"/>
      <c r="L19" s="153"/>
      <c r="M19" s="154"/>
      <c r="N19" s="155"/>
    </row>
    <row r="20" spans="1:14" ht="15.75" thickBot="1" x14ac:dyDescent="0.3">
      <c r="A20" s="117"/>
      <c r="B20" s="117"/>
      <c r="C20" s="117"/>
      <c r="D20" s="117"/>
      <c r="E20" s="117"/>
      <c r="F20" s="104" t="str">
        <f t="shared" si="0"/>
        <v>2.1</v>
      </c>
      <c r="G20" s="156"/>
      <c r="H20" s="427"/>
      <c r="I20" s="428"/>
      <c r="J20" s="428"/>
      <c r="K20" s="428"/>
      <c r="L20" s="428"/>
      <c r="M20" s="428"/>
      <c r="N20" s="429"/>
    </row>
    <row r="21" spans="1:14" collapsed="1" x14ac:dyDescent="0.25">
      <c r="A21" s="72"/>
      <c r="B21" s="72"/>
      <c r="C21" s="96"/>
      <c r="D21" s="96"/>
      <c r="E21" s="96"/>
      <c r="F21" s="105">
        <v>2</v>
      </c>
      <c r="G21" s="165" t="s">
        <v>17</v>
      </c>
      <c r="H21" s="166" t="s">
        <v>125</v>
      </c>
      <c r="I21" s="167"/>
      <c r="J21" s="162" t="str">
        <f>$J$5</f>
        <v>současný stav</v>
      </c>
      <c r="K21" s="130" t="str">
        <f>$K$5</f>
        <v>současný stav</v>
      </c>
      <c r="L21" s="162" t="str">
        <f>$L$5</f>
        <v>plánovaný stav</v>
      </c>
      <c r="M21" s="86" t="str">
        <f>$M$5</f>
        <v>plánovaný stav</v>
      </c>
      <c r="N21" s="157" t="str">
        <f>$N$5</f>
        <v>pokrok</v>
      </c>
    </row>
    <row r="22" spans="1:14" x14ac:dyDescent="0.25">
      <c r="A22" s="73"/>
      <c r="B22" s="73"/>
      <c r="C22" s="97"/>
      <c r="D22" s="97"/>
      <c r="E22" s="97"/>
      <c r="F22" s="108" t="str">
        <f>G22</f>
        <v>2.2</v>
      </c>
      <c r="G22" s="168" t="str">
        <f>$G$2&amp;F21</f>
        <v>2.2</v>
      </c>
      <c r="H22" s="169" t="s">
        <v>124</v>
      </c>
      <c r="I22" s="170"/>
      <c r="J22" s="163" t="str">
        <f>$J$6</f>
        <v>výběr úrovně</v>
      </c>
      <c r="K22" s="131" t="str">
        <f>$K$6</f>
        <v>bodové hodnocení</v>
      </c>
      <c r="L22" s="163" t="str">
        <f>$L$6</f>
        <v>výběr úrovně</v>
      </c>
      <c r="M22" s="88" t="str">
        <f>$M$6</f>
        <v>bodové hodnocení</v>
      </c>
      <c r="N22" s="158" t="str">
        <f>$N$6</f>
        <v>bodové hodnocení</v>
      </c>
    </row>
    <row r="23" spans="1:14" ht="15.75" thickBot="1" x14ac:dyDescent="0.3">
      <c r="A23" s="74"/>
      <c r="B23" s="74"/>
      <c r="C23" s="101"/>
      <c r="D23" s="101"/>
      <c r="E23" s="101"/>
      <c r="F23" s="104" t="str">
        <f t="shared" ref="F23:F31" si="4">F22</f>
        <v>2.2</v>
      </c>
      <c r="G23" s="171"/>
      <c r="H23" s="172"/>
      <c r="I23" s="173"/>
      <c r="J23" s="164"/>
      <c r="K23" s="132" t="str">
        <f>$K$7</f>
        <v>B</v>
      </c>
      <c r="L23" s="164"/>
      <c r="M23" s="89"/>
      <c r="N23" s="159" t="str">
        <f>$N$7</f>
        <v>C</v>
      </c>
    </row>
    <row r="24" spans="1:14" x14ac:dyDescent="0.25">
      <c r="A24" s="69">
        <f>IF(G24="a.",0,IF(G24="b.",1,IF(G24="c.",2,IF(G24="d.",3,IF(G24="e.",4,IF(G24="f.",5,IF(G24="g.",6,IF(G24="h.",7,IF(G24="i.",8,IF(G24="j.",9,""))))))))))</f>
        <v>0</v>
      </c>
      <c r="B24" s="103">
        <f>MAX(A24:A28)</f>
        <v>3</v>
      </c>
      <c r="C24" s="98">
        <f>SUM(K24:K28)</f>
        <v>0.66666666666666663</v>
      </c>
      <c r="D24" s="98">
        <f>SUM(M24:M28)</f>
        <v>0.66666666666666663</v>
      </c>
      <c r="E24" s="98">
        <f>D24-C24</f>
        <v>0</v>
      </c>
      <c r="F24" s="104" t="str">
        <f t="shared" si="4"/>
        <v>2.2</v>
      </c>
      <c r="G24" s="9" t="s">
        <v>6</v>
      </c>
      <c r="H24" s="10" t="s">
        <v>80</v>
      </c>
      <c r="I24" s="174">
        <f>IF(A24&lt;&gt;"",A24/B24*2,"")</f>
        <v>0</v>
      </c>
      <c r="J24" s="218"/>
      <c r="K24" s="133" t="str">
        <f>IF(J24="","",I24)</f>
        <v/>
      </c>
      <c r="L24" s="218"/>
      <c r="M24" s="90" t="str">
        <f>IF(L24="","",I24)</f>
        <v/>
      </c>
      <c r="N24" s="160" t="str">
        <f>IF(AND(M24&lt;&gt;"",E24&gt;=0),E24,"")</f>
        <v/>
      </c>
    </row>
    <row r="25" spans="1:14" x14ac:dyDescent="0.25">
      <c r="A25" s="69">
        <f>IF(G25="a.",0,IF(G25="b.",1,IF(G25="c.",2,IF(G25="d.",3,IF(G25="e.",4,IF(G25="f.",5,IF(G25="g.",6,IF(G25="h.",7,IF(G25="i.",8,IF(G25="j.",9,""))))))))))</f>
        <v>1</v>
      </c>
      <c r="B25" s="99">
        <f t="shared" ref="B25" si="5">B24</f>
        <v>3</v>
      </c>
      <c r="C25" s="93"/>
      <c r="D25" s="93"/>
      <c r="E25" s="99">
        <f>E24</f>
        <v>0</v>
      </c>
      <c r="F25" s="104" t="str">
        <f t="shared" si="4"/>
        <v>2.2</v>
      </c>
      <c r="G25" s="2" t="s">
        <v>8</v>
      </c>
      <c r="H25" s="1" t="s">
        <v>123</v>
      </c>
      <c r="I25" s="174">
        <f>IF(A25&lt;&gt;"",A25/B25*2,"")</f>
        <v>0.66666666666666663</v>
      </c>
      <c r="J25" s="219" t="s">
        <v>298</v>
      </c>
      <c r="K25" s="134">
        <f>IF(J25="","",I25)</f>
        <v>0.66666666666666663</v>
      </c>
      <c r="L25" s="219" t="s">
        <v>298</v>
      </c>
      <c r="M25" s="91">
        <f>IF(L25="","",I25)</f>
        <v>0.66666666666666663</v>
      </c>
      <c r="N25" s="161">
        <f>IF(AND(M25&lt;&gt;"",E25&gt;=0),E25,"")</f>
        <v>0</v>
      </c>
    </row>
    <row r="26" spans="1:14" x14ac:dyDescent="0.25">
      <c r="A26" s="69">
        <f>IF(G26="a.",0,IF(G26="b.",1,IF(G26="c.",2,IF(G26="d.",3,IF(G26="e.",4,IF(G26="f.",5,IF(G26="g.",6,IF(G26="h.",7,IF(G26="i.",8,IF(G26="j.",9,""))))))))))</f>
        <v>2</v>
      </c>
      <c r="B26" s="99">
        <f>B24</f>
        <v>3</v>
      </c>
      <c r="C26" s="93"/>
      <c r="D26" s="93"/>
      <c r="E26" s="99">
        <f>E24</f>
        <v>0</v>
      </c>
      <c r="F26" s="104" t="str">
        <f t="shared" si="4"/>
        <v>2.2</v>
      </c>
      <c r="G26" s="2" t="s">
        <v>10</v>
      </c>
      <c r="H26" s="1" t="s">
        <v>122</v>
      </c>
      <c r="I26" s="174">
        <f>IF(A26&lt;&gt;"",A26/B26*2,"")</f>
        <v>1.3333333333333333</v>
      </c>
      <c r="J26" s="219"/>
      <c r="K26" s="134" t="str">
        <f>IF(J26="","",I26)</f>
        <v/>
      </c>
      <c r="L26" s="219"/>
      <c r="M26" s="91" t="str">
        <f>IF(L26="","",I26)</f>
        <v/>
      </c>
      <c r="N26" s="161" t="str">
        <f>IF(AND(M26&lt;&gt;"",E26&gt;=0),E26,"")</f>
        <v/>
      </c>
    </row>
    <row r="27" spans="1:14" x14ac:dyDescent="0.25">
      <c r="A27" s="69">
        <f>IF(G27="a.",0,IF(G27="b.",1,IF(G27="c.",2,IF(G27="d.",3,IF(G27="e.",4,IF(G27="f.",5,IF(G27="g.",6,IF(G27="h.",7,IF(G27="i.",8,IF(G27="j.",9,""))))))))))</f>
        <v>3</v>
      </c>
      <c r="B27" s="99">
        <f>B25</f>
        <v>3</v>
      </c>
      <c r="C27" s="93"/>
      <c r="D27" s="93"/>
      <c r="E27" s="99">
        <f>E25</f>
        <v>0</v>
      </c>
      <c r="F27" s="104" t="str">
        <f t="shared" si="4"/>
        <v>2.2</v>
      </c>
      <c r="G27" s="2" t="s">
        <v>68</v>
      </c>
      <c r="H27" s="1" t="s">
        <v>121</v>
      </c>
      <c r="I27" s="174">
        <f>IF(A27&lt;&gt;"",A27/B27*2,"")</f>
        <v>2</v>
      </c>
      <c r="J27" s="219"/>
      <c r="K27" s="134" t="str">
        <f>IF(J27="","",I27)</f>
        <v/>
      </c>
      <c r="L27" s="219"/>
      <c r="M27" s="91" t="str">
        <f>IF(L27="","",I27)</f>
        <v/>
      </c>
      <c r="N27" s="161" t="str">
        <f>IF(AND(M27&lt;&gt;"",E27&gt;=0),E27,"")</f>
        <v/>
      </c>
    </row>
    <row r="28" spans="1:14" x14ac:dyDescent="0.25">
      <c r="A28" s="111"/>
      <c r="B28" s="111"/>
      <c r="C28" s="112"/>
      <c r="D28" s="112"/>
      <c r="E28" s="112"/>
      <c r="F28" s="104" t="str">
        <f t="shared" si="4"/>
        <v>2.2</v>
      </c>
      <c r="G28" s="135" t="str">
        <f>"odd. B "&amp;F28</f>
        <v>odd. B 2.2</v>
      </c>
      <c r="H28" s="136" t="s">
        <v>18</v>
      </c>
      <c r="I28" s="137"/>
      <c r="J28" s="137"/>
      <c r="K28" s="138"/>
      <c r="L28" s="137"/>
      <c r="M28" s="138"/>
      <c r="N28" s="139"/>
    </row>
    <row r="29" spans="1:14" x14ac:dyDescent="0.25">
      <c r="A29" s="119"/>
      <c r="B29" s="119"/>
      <c r="C29" s="119"/>
      <c r="D29" s="119"/>
      <c r="E29" s="119"/>
      <c r="F29" s="104" t="str">
        <f t="shared" si="4"/>
        <v>2.2</v>
      </c>
      <c r="G29" s="140"/>
      <c r="H29" s="424"/>
      <c r="I29" s="425"/>
      <c r="J29" s="425"/>
      <c r="K29" s="425"/>
      <c r="L29" s="425"/>
      <c r="M29" s="425"/>
      <c r="N29" s="426"/>
    </row>
    <row r="30" spans="1:14" x14ac:dyDescent="0.25">
      <c r="A30" s="16"/>
      <c r="B30" s="16"/>
      <c r="C30" s="100"/>
      <c r="D30" s="100"/>
      <c r="E30" s="100"/>
      <c r="F30" s="104" t="str">
        <f t="shared" si="4"/>
        <v>2.2</v>
      </c>
      <c r="G30" s="151" t="str">
        <f>"odd. C "&amp;F30</f>
        <v>odd. C 2.2</v>
      </c>
      <c r="H30" s="152" t="s">
        <v>19</v>
      </c>
      <c r="I30" s="153"/>
      <c r="J30" s="153"/>
      <c r="K30" s="154"/>
      <c r="L30" s="153"/>
      <c r="M30" s="154"/>
      <c r="N30" s="155"/>
    </row>
    <row r="31" spans="1:14" ht="15.75" thickBot="1" x14ac:dyDescent="0.3">
      <c r="A31" s="117"/>
      <c r="B31" s="117"/>
      <c r="C31" s="117"/>
      <c r="D31" s="117"/>
      <c r="E31" s="117"/>
      <c r="F31" s="104" t="str">
        <f t="shared" si="4"/>
        <v>2.2</v>
      </c>
      <c r="G31" s="156"/>
      <c r="H31" s="427"/>
      <c r="I31" s="428"/>
      <c r="J31" s="428"/>
      <c r="K31" s="428"/>
      <c r="L31" s="428"/>
      <c r="M31" s="428"/>
      <c r="N31" s="429"/>
    </row>
    <row r="32" spans="1:14" collapsed="1" x14ac:dyDescent="0.25">
      <c r="A32" s="72"/>
      <c r="B32" s="72"/>
      <c r="C32" s="96"/>
      <c r="D32" s="96"/>
      <c r="E32" s="96"/>
      <c r="F32" s="105">
        <v>3</v>
      </c>
      <c r="G32" s="165" t="s">
        <v>17</v>
      </c>
      <c r="H32" s="166" t="s">
        <v>120</v>
      </c>
      <c r="I32" s="167"/>
      <c r="J32" s="162" t="str">
        <f>$J$5</f>
        <v>současný stav</v>
      </c>
      <c r="K32" s="130" t="str">
        <f>$K$5</f>
        <v>současný stav</v>
      </c>
      <c r="L32" s="162" t="str">
        <f>$L$5</f>
        <v>plánovaný stav</v>
      </c>
      <c r="M32" s="86" t="str">
        <f>$M$5</f>
        <v>plánovaný stav</v>
      </c>
      <c r="N32" s="157" t="str">
        <f>$N$5</f>
        <v>pokrok</v>
      </c>
    </row>
    <row r="33" spans="1:14" x14ac:dyDescent="0.25">
      <c r="A33" s="73"/>
      <c r="B33" s="73"/>
      <c r="C33" s="97"/>
      <c r="D33" s="97"/>
      <c r="E33" s="97"/>
      <c r="F33" s="108" t="str">
        <f>G33</f>
        <v>2.3</v>
      </c>
      <c r="G33" s="168" t="str">
        <f>$G$2&amp;F32</f>
        <v>2.3</v>
      </c>
      <c r="H33" s="169" t="s">
        <v>119</v>
      </c>
      <c r="I33" s="170"/>
      <c r="J33" s="163" t="str">
        <f>$J$6</f>
        <v>výběr úrovně</v>
      </c>
      <c r="K33" s="131" t="str">
        <f>$K$6</f>
        <v>bodové hodnocení</v>
      </c>
      <c r="L33" s="163" t="str">
        <f>$L$6</f>
        <v>výběr úrovně</v>
      </c>
      <c r="M33" s="88" t="str">
        <f>$M$6</f>
        <v>bodové hodnocení</v>
      </c>
      <c r="N33" s="158" t="str">
        <f>$N$6</f>
        <v>bodové hodnocení</v>
      </c>
    </row>
    <row r="34" spans="1:14" ht="15.75" thickBot="1" x14ac:dyDescent="0.3">
      <c r="A34" s="74"/>
      <c r="B34" s="74"/>
      <c r="C34" s="101"/>
      <c r="D34" s="101"/>
      <c r="E34" s="101"/>
      <c r="F34" s="104" t="str">
        <f t="shared" ref="F34:F40" si="6">F33</f>
        <v>2.3</v>
      </c>
      <c r="G34" s="171"/>
      <c r="H34" s="172"/>
      <c r="I34" s="173"/>
      <c r="J34" s="164"/>
      <c r="K34" s="132" t="str">
        <f>$K$7</f>
        <v>B</v>
      </c>
      <c r="L34" s="164"/>
      <c r="M34" s="89"/>
      <c r="N34" s="159" t="str">
        <f>$N$7</f>
        <v>C</v>
      </c>
    </row>
    <row r="35" spans="1:14" x14ac:dyDescent="0.25">
      <c r="A35" s="69">
        <f>IF(G35="a.",0,IF(G35="b.",1,IF(G35="c.",2,IF(G35="d.",3,IF(G35="e.",4,IF(G35="f.",5,IF(G35="g.",6,IF(G35="h.",7,IF(G35="i.",8,IF(G35="j.",9,""))))))))))</f>
        <v>0</v>
      </c>
      <c r="B35" s="103">
        <f>MAX(A35:A37)</f>
        <v>1</v>
      </c>
      <c r="C35" s="98">
        <f>SUM(K35:K37)</f>
        <v>0</v>
      </c>
      <c r="D35" s="98">
        <f>SUM(M35:M37)</f>
        <v>2</v>
      </c>
      <c r="E35" s="98">
        <f>D35-C35</f>
        <v>2</v>
      </c>
      <c r="F35" s="104" t="str">
        <f t="shared" si="6"/>
        <v>2.3</v>
      </c>
      <c r="G35" s="2" t="s">
        <v>6</v>
      </c>
      <c r="H35" s="1" t="s">
        <v>118</v>
      </c>
      <c r="I35" s="174">
        <f>IF(A35&lt;&gt;"",A35/B35*2,"")</f>
        <v>0</v>
      </c>
      <c r="J35" s="218" t="s">
        <v>298</v>
      </c>
      <c r="K35" s="133">
        <f>IF(J35="","",I35)</f>
        <v>0</v>
      </c>
      <c r="L35" s="218"/>
      <c r="M35" s="90" t="str">
        <f>IF(L35="","",I35)</f>
        <v/>
      </c>
      <c r="N35" s="160" t="str">
        <f>IF(AND(M35&lt;&gt;"",E35&gt;=0),E35,"")</f>
        <v/>
      </c>
    </row>
    <row r="36" spans="1:14" x14ac:dyDescent="0.25">
      <c r="A36" s="69">
        <f>IF(G36="a.",0,IF(G36="b.",1,IF(G36="c.",2,IF(G36="d.",3,IF(G36="e.",4,IF(G36="f.",5,IF(G36="g.",6,IF(G36="h.",7,IF(G36="i.",8,IF(G36="j.",9,""))))))))))</f>
        <v>1</v>
      </c>
      <c r="B36" s="99">
        <f t="shared" ref="B36" si="7">B35</f>
        <v>1</v>
      </c>
      <c r="C36" s="93"/>
      <c r="D36" s="93"/>
      <c r="E36" s="99">
        <f>E35</f>
        <v>2</v>
      </c>
      <c r="F36" s="104" t="str">
        <f t="shared" si="6"/>
        <v>2.3</v>
      </c>
      <c r="G36" s="2" t="s">
        <v>8</v>
      </c>
      <c r="H36" s="1" t="s">
        <v>117</v>
      </c>
      <c r="I36" s="174">
        <f>IF(A36&lt;&gt;"",A36/B36*2,"")</f>
        <v>2</v>
      </c>
      <c r="J36" s="219"/>
      <c r="K36" s="134" t="str">
        <f>IF(J36="","",I36)</f>
        <v/>
      </c>
      <c r="L36" s="219" t="s">
        <v>298</v>
      </c>
      <c r="M36" s="91">
        <f>IF(L36="","",I36)</f>
        <v>2</v>
      </c>
      <c r="N36" s="161">
        <f>IF(AND(M36&lt;&gt;"",E36&gt;=0),E36,"")</f>
        <v>2</v>
      </c>
    </row>
    <row r="37" spans="1:14" x14ac:dyDescent="0.25">
      <c r="A37" s="111"/>
      <c r="B37" s="111"/>
      <c r="C37" s="112"/>
      <c r="D37" s="112"/>
      <c r="E37" s="112"/>
      <c r="F37" s="104" t="str">
        <f t="shared" si="6"/>
        <v>2.3</v>
      </c>
      <c r="G37" s="135" t="str">
        <f>"odd. B "&amp;F37</f>
        <v>odd. B 2.3</v>
      </c>
      <c r="H37" s="136" t="s">
        <v>18</v>
      </c>
      <c r="I37" s="137"/>
      <c r="J37" s="137"/>
      <c r="K37" s="138"/>
      <c r="L37" s="137"/>
      <c r="M37" s="138"/>
      <c r="N37" s="139"/>
    </row>
    <row r="38" spans="1:14" x14ac:dyDescent="0.25">
      <c r="A38" s="119"/>
      <c r="B38" s="119"/>
      <c r="C38" s="119"/>
      <c r="D38" s="119"/>
      <c r="E38" s="119"/>
      <c r="F38" s="104" t="str">
        <f t="shared" si="6"/>
        <v>2.3</v>
      </c>
      <c r="G38" s="140"/>
      <c r="H38" s="424"/>
      <c r="I38" s="425"/>
      <c r="J38" s="425"/>
      <c r="K38" s="425"/>
      <c r="L38" s="425"/>
      <c r="M38" s="425"/>
      <c r="N38" s="426"/>
    </row>
    <row r="39" spans="1:14" x14ac:dyDescent="0.25">
      <c r="A39" s="16"/>
      <c r="B39" s="16"/>
      <c r="C39" s="100"/>
      <c r="D39" s="100"/>
      <c r="E39" s="100"/>
      <c r="F39" s="104" t="str">
        <f t="shared" si="6"/>
        <v>2.3</v>
      </c>
      <c r="G39" s="151" t="str">
        <f>"odd. C "&amp;F39</f>
        <v>odd. C 2.3</v>
      </c>
      <c r="H39" s="152" t="s">
        <v>19</v>
      </c>
      <c r="I39" s="153"/>
      <c r="J39" s="153"/>
      <c r="K39" s="154"/>
      <c r="L39" s="153"/>
      <c r="M39" s="154"/>
      <c r="N39" s="155"/>
    </row>
    <row r="40" spans="1:14" ht="15.75" thickBot="1" x14ac:dyDescent="0.3">
      <c r="A40" s="117"/>
      <c r="B40" s="117"/>
      <c r="C40" s="117"/>
      <c r="D40" s="117"/>
      <c r="E40" s="117"/>
      <c r="F40" s="104" t="str">
        <f t="shared" si="6"/>
        <v>2.3</v>
      </c>
      <c r="G40" s="156"/>
      <c r="H40" s="427"/>
      <c r="I40" s="428"/>
      <c r="J40" s="428"/>
      <c r="K40" s="428"/>
      <c r="L40" s="428"/>
      <c r="M40" s="428"/>
      <c r="N40" s="429"/>
    </row>
    <row r="41" spans="1:14" collapsed="1" x14ac:dyDescent="0.25">
      <c r="A41" s="72"/>
      <c r="B41" s="72"/>
      <c r="C41" s="96"/>
      <c r="D41" s="96"/>
      <c r="E41" s="96"/>
      <c r="F41" s="105">
        <v>4</v>
      </c>
      <c r="G41" s="165" t="s">
        <v>17</v>
      </c>
      <c r="H41" s="166" t="s">
        <v>116</v>
      </c>
      <c r="I41" s="167"/>
      <c r="J41" s="162" t="str">
        <f>$J$5</f>
        <v>současný stav</v>
      </c>
      <c r="K41" s="130" t="str">
        <f>$K$5</f>
        <v>současný stav</v>
      </c>
      <c r="L41" s="162" t="str">
        <f>$L$5</f>
        <v>plánovaný stav</v>
      </c>
      <c r="M41" s="86" t="str">
        <f>$M$5</f>
        <v>plánovaný stav</v>
      </c>
      <c r="N41" s="157" t="str">
        <f>$N$5</f>
        <v>pokrok</v>
      </c>
    </row>
    <row r="42" spans="1:14" x14ac:dyDescent="0.25">
      <c r="A42" s="73"/>
      <c r="B42" s="73"/>
      <c r="C42" s="97"/>
      <c r="D42" s="97"/>
      <c r="E42" s="97"/>
      <c r="F42" s="108" t="str">
        <f>G42</f>
        <v>2.4</v>
      </c>
      <c r="G42" s="168" t="str">
        <f>$G$2&amp;F41</f>
        <v>2.4</v>
      </c>
      <c r="H42" s="169" t="s">
        <v>115</v>
      </c>
      <c r="I42" s="170"/>
      <c r="J42" s="163" t="str">
        <f>$J$6</f>
        <v>výběr úrovně</v>
      </c>
      <c r="K42" s="131" t="str">
        <f>$K$6</f>
        <v>bodové hodnocení</v>
      </c>
      <c r="L42" s="163" t="str">
        <f>$L$6</f>
        <v>výběr úrovně</v>
      </c>
      <c r="M42" s="88" t="str">
        <f>$M$6</f>
        <v>bodové hodnocení</v>
      </c>
      <c r="N42" s="158" t="str">
        <f>$N$6</f>
        <v>bodové hodnocení</v>
      </c>
    </row>
    <row r="43" spans="1:14" ht="15.75" thickBot="1" x14ac:dyDescent="0.3">
      <c r="A43" s="74"/>
      <c r="B43" s="74"/>
      <c r="C43" s="101"/>
      <c r="D43" s="101"/>
      <c r="E43" s="101"/>
      <c r="F43" s="104" t="str">
        <f t="shared" ref="F43:F50" si="8">F42</f>
        <v>2.4</v>
      </c>
      <c r="G43" s="171"/>
      <c r="H43" s="172"/>
      <c r="I43" s="173"/>
      <c r="J43" s="164"/>
      <c r="K43" s="132" t="str">
        <f>$K$7</f>
        <v>B</v>
      </c>
      <c r="L43" s="164"/>
      <c r="M43" s="89"/>
      <c r="N43" s="159" t="str">
        <f>$N$7</f>
        <v>C</v>
      </c>
    </row>
    <row r="44" spans="1:14" x14ac:dyDescent="0.25">
      <c r="A44" s="69">
        <f>IF(G44="a.",0,IF(G44="b.",1,IF(G44="c.",2,IF(G44="d.",3,IF(G44="e.",4,IF(G44="f.",5,IF(G44="g.",6,IF(G44="h.",7,IF(G44="i.",8,IF(G44="j.",9,""))))))))))</f>
        <v>0</v>
      </c>
      <c r="B44" s="103">
        <f>MAX(A44:A47)</f>
        <v>2</v>
      </c>
      <c r="C44" s="98">
        <f>SUM(K44:K47)</f>
        <v>1</v>
      </c>
      <c r="D44" s="98">
        <f>SUM(M44:M47)</f>
        <v>2</v>
      </c>
      <c r="E44" s="98">
        <f>D44-C44</f>
        <v>1</v>
      </c>
      <c r="F44" s="104" t="str">
        <f t="shared" si="8"/>
        <v>2.4</v>
      </c>
      <c r="G44" s="2" t="s">
        <v>6</v>
      </c>
      <c r="H44" s="1" t="s">
        <v>114</v>
      </c>
      <c r="I44" s="174">
        <f>IF(A44&lt;&gt;"",A44/B44*2,"")</f>
        <v>0</v>
      </c>
      <c r="J44" s="218"/>
      <c r="K44" s="133" t="str">
        <f>IF(J44="","",I44)</f>
        <v/>
      </c>
      <c r="L44" s="218"/>
      <c r="M44" s="90" t="str">
        <f>IF(L44="","",I44)</f>
        <v/>
      </c>
      <c r="N44" s="160" t="str">
        <f>IF(AND(M44&lt;&gt;"",E44&gt;=0),E44,"")</f>
        <v/>
      </c>
    </row>
    <row r="45" spans="1:14" x14ac:dyDescent="0.25">
      <c r="A45" s="69">
        <f>IF(G45="a.",0,IF(G45="b.",1,IF(G45="c.",2,IF(G45="d.",3,IF(G45="e.",4,IF(G45="f.",5,IF(G45="g.",6,IF(G45="h.",7,IF(G45="i.",8,IF(G45="j.",9,""))))))))))</f>
        <v>1</v>
      </c>
      <c r="B45" s="99">
        <f t="shared" ref="B45:B46" si="9">B44</f>
        <v>2</v>
      </c>
      <c r="C45" s="93"/>
      <c r="D45" s="93"/>
      <c r="E45" s="99">
        <f>E44</f>
        <v>1</v>
      </c>
      <c r="F45" s="104" t="str">
        <f t="shared" si="8"/>
        <v>2.4</v>
      </c>
      <c r="G45" s="2" t="s">
        <v>8</v>
      </c>
      <c r="H45" s="1" t="s">
        <v>113</v>
      </c>
      <c r="I45" s="174">
        <f>IF(A45&lt;&gt;"",A45/B45*2,"")</f>
        <v>1</v>
      </c>
      <c r="J45" s="219" t="s">
        <v>298</v>
      </c>
      <c r="K45" s="134">
        <f>IF(J45="","",I45)</f>
        <v>1</v>
      </c>
      <c r="L45" s="219"/>
      <c r="M45" s="91" t="str">
        <f>IF(L45="","",I45)</f>
        <v/>
      </c>
      <c r="N45" s="161" t="str">
        <f>IF(AND(M45&lt;&gt;"",E45&gt;=0),E45,"")</f>
        <v/>
      </c>
    </row>
    <row r="46" spans="1:14" x14ac:dyDescent="0.25">
      <c r="A46" s="69">
        <f>IF(G46="a.",0,IF(G46="b.",1,IF(G46="c.",2,IF(G46="d.",3,IF(G46="e.",4,IF(G46="f.",5,IF(G46="g.",6,IF(G46="h.",7,IF(G46="i.",8,IF(G46="j.",9,""))))))))))</f>
        <v>2</v>
      </c>
      <c r="B46" s="99">
        <f t="shared" si="9"/>
        <v>2</v>
      </c>
      <c r="C46" s="93"/>
      <c r="D46" s="93"/>
      <c r="E46" s="99">
        <f>E45</f>
        <v>1</v>
      </c>
      <c r="F46" s="104" t="str">
        <f t="shared" si="8"/>
        <v>2.4</v>
      </c>
      <c r="G46" s="2" t="s">
        <v>10</v>
      </c>
      <c r="H46" s="1" t="s">
        <v>112</v>
      </c>
      <c r="I46" s="174">
        <f>IF(A46&lt;&gt;"",A46/B46*2,"")</f>
        <v>2</v>
      </c>
      <c r="J46" s="219"/>
      <c r="K46" s="134" t="str">
        <f>IF(J46="","",I46)</f>
        <v/>
      </c>
      <c r="L46" s="219" t="s">
        <v>298</v>
      </c>
      <c r="M46" s="91">
        <f>IF(L46="","",I46)</f>
        <v>2</v>
      </c>
      <c r="N46" s="161">
        <f>IF(AND(M46&lt;&gt;"",E46&gt;=0),E46,"")</f>
        <v>1</v>
      </c>
    </row>
    <row r="47" spans="1:14" x14ac:dyDescent="0.25">
      <c r="A47" s="111"/>
      <c r="B47" s="111"/>
      <c r="C47" s="112"/>
      <c r="D47" s="112"/>
      <c r="E47" s="112"/>
      <c r="F47" s="104" t="str">
        <f t="shared" si="8"/>
        <v>2.4</v>
      </c>
      <c r="G47" s="135" t="str">
        <f>"odd. B "&amp;F47</f>
        <v>odd. B 2.4</v>
      </c>
      <c r="H47" s="136" t="s">
        <v>18</v>
      </c>
      <c r="I47" s="137"/>
      <c r="J47" s="137"/>
      <c r="K47" s="138"/>
      <c r="L47" s="137"/>
      <c r="M47" s="138"/>
      <c r="N47" s="139"/>
    </row>
    <row r="48" spans="1:14" x14ac:dyDescent="0.25">
      <c r="A48" s="119"/>
      <c r="B48" s="119"/>
      <c r="C48" s="119"/>
      <c r="D48" s="119"/>
      <c r="E48" s="119"/>
      <c r="F48" s="104" t="str">
        <f t="shared" si="8"/>
        <v>2.4</v>
      </c>
      <c r="G48" s="140"/>
      <c r="H48" s="424"/>
      <c r="I48" s="425"/>
      <c r="J48" s="425"/>
      <c r="K48" s="425"/>
      <c r="L48" s="425"/>
      <c r="M48" s="425"/>
      <c r="N48" s="426"/>
    </row>
    <row r="49" spans="1:14" x14ac:dyDescent="0.25">
      <c r="A49" s="16"/>
      <c r="B49" s="16"/>
      <c r="C49" s="100"/>
      <c r="D49" s="100"/>
      <c r="E49" s="100"/>
      <c r="F49" s="104" t="str">
        <f t="shared" si="8"/>
        <v>2.4</v>
      </c>
      <c r="G49" s="151" t="str">
        <f>"odd. C "&amp;F49</f>
        <v>odd. C 2.4</v>
      </c>
      <c r="H49" s="152" t="s">
        <v>19</v>
      </c>
      <c r="I49" s="153"/>
      <c r="J49" s="153"/>
      <c r="K49" s="154"/>
      <c r="L49" s="153"/>
      <c r="M49" s="154"/>
      <c r="N49" s="155"/>
    </row>
    <row r="50" spans="1:14" ht="15.75" thickBot="1" x14ac:dyDescent="0.3">
      <c r="A50" s="117"/>
      <c r="B50" s="117"/>
      <c r="C50" s="117"/>
      <c r="D50" s="117"/>
      <c r="E50" s="117"/>
      <c r="F50" s="104" t="str">
        <f t="shared" si="8"/>
        <v>2.4</v>
      </c>
      <c r="G50" s="156"/>
      <c r="H50" s="427"/>
      <c r="I50" s="428"/>
      <c r="J50" s="428"/>
      <c r="K50" s="428"/>
      <c r="L50" s="428"/>
      <c r="M50" s="428"/>
      <c r="N50" s="429"/>
    </row>
    <row r="51" spans="1:14" collapsed="1" x14ac:dyDescent="0.25">
      <c r="A51" s="72"/>
      <c r="B51" s="72"/>
      <c r="C51" s="96"/>
      <c r="D51" s="96"/>
      <c r="E51" s="96"/>
      <c r="F51" s="105">
        <v>5</v>
      </c>
      <c r="G51" s="165" t="s">
        <v>17</v>
      </c>
      <c r="H51" s="166" t="s">
        <v>111</v>
      </c>
      <c r="I51" s="167"/>
      <c r="J51" s="162" t="str">
        <f>$J$5</f>
        <v>současný stav</v>
      </c>
      <c r="K51" s="130" t="str">
        <f>$K$5</f>
        <v>současný stav</v>
      </c>
      <c r="L51" s="162" t="str">
        <f>$L$5</f>
        <v>plánovaný stav</v>
      </c>
      <c r="M51" s="86" t="str">
        <f>$M$5</f>
        <v>plánovaný stav</v>
      </c>
      <c r="N51" s="157" t="str">
        <f>$N$5</f>
        <v>pokrok</v>
      </c>
    </row>
    <row r="52" spans="1:14" x14ac:dyDescent="0.25">
      <c r="A52" s="73"/>
      <c r="B52" s="73"/>
      <c r="C52" s="97"/>
      <c r="D52" s="97"/>
      <c r="E52" s="97"/>
      <c r="F52" s="108" t="str">
        <f>G52</f>
        <v>2.5</v>
      </c>
      <c r="G52" s="168" t="str">
        <f>$G$2&amp;F51</f>
        <v>2.5</v>
      </c>
      <c r="H52" s="169" t="s">
        <v>110</v>
      </c>
      <c r="I52" s="170"/>
      <c r="J52" s="163" t="str">
        <f>$J$6</f>
        <v>výběr úrovně</v>
      </c>
      <c r="K52" s="131" t="str">
        <f>$K$6</f>
        <v>bodové hodnocení</v>
      </c>
      <c r="L52" s="163" t="str">
        <f>$L$6</f>
        <v>výběr úrovně</v>
      </c>
      <c r="M52" s="88" t="str">
        <f>$M$6</f>
        <v>bodové hodnocení</v>
      </c>
      <c r="N52" s="158" t="str">
        <f>$N$6</f>
        <v>bodové hodnocení</v>
      </c>
    </row>
    <row r="53" spans="1:14" ht="15.75" thickBot="1" x14ac:dyDescent="0.3">
      <c r="A53" s="74"/>
      <c r="B53" s="74"/>
      <c r="C53" s="101"/>
      <c r="D53" s="101"/>
      <c r="E53" s="101"/>
      <c r="F53" s="104" t="str">
        <f t="shared" ref="F53:F60" si="10">F52</f>
        <v>2.5</v>
      </c>
      <c r="G53" s="171"/>
      <c r="H53" s="172"/>
      <c r="I53" s="173"/>
      <c r="J53" s="164"/>
      <c r="K53" s="132" t="str">
        <f>$K$7</f>
        <v>B</v>
      </c>
      <c r="L53" s="164"/>
      <c r="M53" s="89"/>
      <c r="N53" s="159" t="str">
        <f>$N$7</f>
        <v>C</v>
      </c>
    </row>
    <row r="54" spans="1:14" x14ac:dyDescent="0.25">
      <c r="A54" s="69">
        <f>IF(G54="a.",0,IF(G54="b.",1,IF(G54="c.",2,IF(G54="d.",3,IF(G54="e.",4,IF(G54="f.",5,IF(G54="g.",6,IF(G54="h.",7,IF(G54="i.",8,IF(G54="j.",9,""))))))))))</f>
        <v>0</v>
      </c>
      <c r="B54" s="103">
        <f>MAX(A54:A57)</f>
        <v>2</v>
      </c>
      <c r="C54" s="98">
        <f>SUM(K54:K57)</f>
        <v>1</v>
      </c>
      <c r="D54" s="98">
        <f>SUM(M54:M57)</f>
        <v>2</v>
      </c>
      <c r="E54" s="98">
        <f>D54-C54</f>
        <v>1</v>
      </c>
      <c r="F54" s="104" t="str">
        <f t="shared" si="10"/>
        <v>2.5</v>
      </c>
      <c r="G54" s="2" t="s">
        <v>6</v>
      </c>
      <c r="H54" s="1" t="s">
        <v>109</v>
      </c>
      <c r="I54" s="174">
        <f>IF(A54&lt;&gt;"",A54/B54*2,"")</f>
        <v>0</v>
      </c>
      <c r="J54" s="218"/>
      <c r="K54" s="133" t="str">
        <f>IF(J54="","",I54)</f>
        <v/>
      </c>
      <c r="L54" s="218"/>
      <c r="M54" s="90" t="str">
        <f>IF(L54="","",I54)</f>
        <v/>
      </c>
      <c r="N54" s="160" t="str">
        <f>IF(AND(M54&lt;&gt;"",E54&gt;=0),E54,"")</f>
        <v/>
      </c>
    </row>
    <row r="55" spans="1:14" x14ac:dyDescent="0.25">
      <c r="A55" s="69">
        <f>IF(G55="a.",0,IF(G55="b.",1,IF(G55="c.",2,IF(G55="d.",3,IF(G55="e.",4,IF(G55="f.",5,IF(G55="g.",6,IF(G55="h.",7,IF(G55="i.",8,IF(G55="j.",9,""))))))))))</f>
        <v>1</v>
      </c>
      <c r="B55" s="99">
        <f t="shared" ref="B55:B56" si="11">B54</f>
        <v>2</v>
      </c>
      <c r="C55" s="93"/>
      <c r="D55" s="93"/>
      <c r="E55" s="99">
        <f>E54</f>
        <v>1</v>
      </c>
      <c r="F55" s="104" t="str">
        <f t="shared" si="10"/>
        <v>2.5</v>
      </c>
      <c r="G55" s="2" t="s">
        <v>8</v>
      </c>
      <c r="H55" s="1" t="s">
        <v>108</v>
      </c>
      <c r="I55" s="174">
        <f>IF(A55&lt;&gt;"",A55/B55*2,"")</f>
        <v>1</v>
      </c>
      <c r="J55" s="219" t="s">
        <v>298</v>
      </c>
      <c r="K55" s="134">
        <f>IF(J55="","",I55)</f>
        <v>1</v>
      </c>
      <c r="L55" s="219"/>
      <c r="M55" s="91" t="str">
        <f>IF(L55="","",I55)</f>
        <v/>
      </c>
      <c r="N55" s="161" t="str">
        <f>IF(AND(M55&lt;&gt;"",E55&gt;=0),E55,"")</f>
        <v/>
      </c>
    </row>
    <row r="56" spans="1:14" x14ac:dyDescent="0.25">
      <c r="A56" s="69">
        <f>IF(G56="a.",0,IF(G56="b.",1,IF(G56="c.",2,IF(G56="d.",3,IF(G56="e.",4,IF(G56="f.",5,IF(G56="g.",6,IF(G56="h.",7,IF(G56="i.",8,IF(G56="j.",9,""))))))))))</f>
        <v>2</v>
      </c>
      <c r="B56" s="99">
        <f t="shared" si="11"/>
        <v>2</v>
      </c>
      <c r="C56" s="93"/>
      <c r="D56" s="93"/>
      <c r="E56" s="99">
        <f>E55</f>
        <v>1</v>
      </c>
      <c r="F56" s="104" t="str">
        <f t="shared" si="10"/>
        <v>2.5</v>
      </c>
      <c r="G56" s="2" t="s">
        <v>10</v>
      </c>
      <c r="H56" s="1" t="s">
        <v>107</v>
      </c>
      <c r="I56" s="174">
        <f>IF(A56&lt;&gt;"",A56/B56*2,"")</f>
        <v>2</v>
      </c>
      <c r="J56" s="219"/>
      <c r="K56" s="134" t="str">
        <f>IF(J56="","",I56)</f>
        <v/>
      </c>
      <c r="L56" s="219" t="s">
        <v>298</v>
      </c>
      <c r="M56" s="91">
        <f>IF(L56="","",I56)</f>
        <v>2</v>
      </c>
      <c r="N56" s="161">
        <f>IF(AND(M56&lt;&gt;"",E56&gt;=0),E56,"")</f>
        <v>1</v>
      </c>
    </row>
    <row r="57" spans="1:14" x14ac:dyDescent="0.25">
      <c r="A57" s="111"/>
      <c r="B57" s="111"/>
      <c r="C57" s="112"/>
      <c r="D57" s="112"/>
      <c r="E57" s="112"/>
      <c r="F57" s="104" t="str">
        <f t="shared" si="10"/>
        <v>2.5</v>
      </c>
      <c r="G57" s="135" t="str">
        <f>"odd. B "&amp;F57</f>
        <v>odd. B 2.5</v>
      </c>
      <c r="H57" s="136" t="s">
        <v>18</v>
      </c>
      <c r="I57" s="137"/>
      <c r="J57" s="137"/>
      <c r="K57" s="138"/>
      <c r="L57" s="137"/>
      <c r="M57" s="138"/>
      <c r="N57" s="139"/>
    </row>
    <row r="58" spans="1:14" x14ac:dyDescent="0.25">
      <c r="A58" s="119"/>
      <c r="B58" s="119"/>
      <c r="C58" s="119"/>
      <c r="D58" s="119"/>
      <c r="E58" s="119"/>
      <c r="F58" s="104" t="str">
        <f t="shared" si="10"/>
        <v>2.5</v>
      </c>
      <c r="G58" s="140"/>
      <c r="H58" s="424"/>
      <c r="I58" s="425"/>
      <c r="J58" s="425"/>
      <c r="K58" s="425"/>
      <c r="L58" s="425"/>
      <c r="M58" s="425"/>
      <c r="N58" s="426"/>
    </row>
    <row r="59" spans="1:14" x14ac:dyDescent="0.25">
      <c r="A59" s="16"/>
      <c r="B59" s="16"/>
      <c r="C59" s="100"/>
      <c r="D59" s="100"/>
      <c r="E59" s="100"/>
      <c r="F59" s="104" t="str">
        <f t="shared" si="10"/>
        <v>2.5</v>
      </c>
      <c r="G59" s="151" t="str">
        <f>"odd. C "&amp;F59</f>
        <v>odd. C 2.5</v>
      </c>
      <c r="H59" s="152" t="s">
        <v>19</v>
      </c>
      <c r="I59" s="153"/>
      <c r="J59" s="153"/>
      <c r="K59" s="154"/>
      <c r="L59" s="153"/>
      <c r="M59" s="154"/>
      <c r="N59" s="155"/>
    </row>
    <row r="60" spans="1:14" ht="15.75" thickBot="1" x14ac:dyDescent="0.3">
      <c r="A60" s="117"/>
      <c r="B60" s="117"/>
      <c r="C60" s="117"/>
      <c r="D60" s="117"/>
      <c r="E60" s="117"/>
      <c r="F60" s="104" t="str">
        <f t="shared" si="10"/>
        <v>2.5</v>
      </c>
      <c r="G60" s="156"/>
      <c r="H60" s="427"/>
      <c r="I60" s="428"/>
      <c r="J60" s="428"/>
      <c r="K60" s="428"/>
      <c r="L60" s="428"/>
      <c r="M60" s="428"/>
      <c r="N60" s="429"/>
    </row>
    <row r="61" spans="1:14" collapsed="1" x14ac:dyDescent="0.25">
      <c r="A61" s="72"/>
      <c r="B61" s="72"/>
      <c r="C61" s="96"/>
      <c r="D61" s="96"/>
      <c r="E61" s="96"/>
      <c r="F61" s="105">
        <v>6</v>
      </c>
      <c r="G61" s="165" t="s">
        <v>17</v>
      </c>
      <c r="H61" s="166" t="s">
        <v>106</v>
      </c>
      <c r="I61" s="167"/>
      <c r="J61" s="162" t="str">
        <f>$J$5</f>
        <v>současný stav</v>
      </c>
      <c r="K61" s="130" t="str">
        <f>$K$5</f>
        <v>současný stav</v>
      </c>
      <c r="L61" s="162" t="str">
        <f>$L$5</f>
        <v>plánovaný stav</v>
      </c>
      <c r="M61" s="86" t="str">
        <f>$M$5</f>
        <v>plánovaný stav</v>
      </c>
      <c r="N61" s="157" t="str">
        <f>$N$5</f>
        <v>pokrok</v>
      </c>
    </row>
    <row r="62" spans="1:14" x14ac:dyDescent="0.25">
      <c r="A62" s="73"/>
      <c r="B62" s="73"/>
      <c r="C62" s="97"/>
      <c r="D62" s="97"/>
      <c r="E62" s="97"/>
      <c r="F62" s="108" t="str">
        <f>G62</f>
        <v>2.6</v>
      </c>
      <c r="G62" s="168" t="str">
        <f>$G$2&amp;F61</f>
        <v>2.6</v>
      </c>
      <c r="H62" s="169" t="s">
        <v>105</v>
      </c>
      <c r="I62" s="170"/>
      <c r="J62" s="163" t="str">
        <f>$J$6</f>
        <v>výběr úrovně</v>
      </c>
      <c r="K62" s="131" t="str">
        <f>$K$6</f>
        <v>bodové hodnocení</v>
      </c>
      <c r="L62" s="163" t="str">
        <f>$L$6</f>
        <v>výběr úrovně</v>
      </c>
      <c r="M62" s="88" t="str">
        <f>$M$6</f>
        <v>bodové hodnocení</v>
      </c>
      <c r="N62" s="158" t="str">
        <f>$N$6</f>
        <v>bodové hodnocení</v>
      </c>
    </row>
    <row r="63" spans="1:14" ht="15.75" thickBot="1" x14ac:dyDescent="0.3">
      <c r="A63" s="74"/>
      <c r="B63" s="74"/>
      <c r="C63" s="101"/>
      <c r="D63" s="101"/>
      <c r="E63" s="101"/>
      <c r="F63" s="104" t="str">
        <f t="shared" ref="F63:F72" si="12">F62</f>
        <v>2.6</v>
      </c>
      <c r="G63" s="171"/>
      <c r="H63" s="172"/>
      <c r="I63" s="173"/>
      <c r="J63" s="164"/>
      <c r="K63" s="132" t="str">
        <f>$K$7</f>
        <v>B</v>
      </c>
      <c r="L63" s="164"/>
      <c r="M63" s="89"/>
      <c r="N63" s="159" t="str">
        <f>$N$7</f>
        <v>C</v>
      </c>
    </row>
    <row r="64" spans="1:14" x14ac:dyDescent="0.25">
      <c r="A64" s="69">
        <f>IF(G64="a.",0,IF(G64="b.",1,IF(G64="c.",2,IF(G64="d.",3,IF(G64="e.",4,IF(G64="f.",5,IF(G64="g.",6,IF(G64="h.",7,IF(G64="i.",8,IF(G64="j.",9,""))))))))))</f>
        <v>0</v>
      </c>
      <c r="B64" s="103">
        <f>MAX(A64:A69)</f>
        <v>4</v>
      </c>
      <c r="C64" s="98">
        <f>SUM(K64:K69)</f>
        <v>0.5</v>
      </c>
      <c r="D64" s="98">
        <f>SUM(M64:M69)</f>
        <v>1.5</v>
      </c>
      <c r="E64" s="98">
        <f>D64-C64</f>
        <v>1</v>
      </c>
      <c r="F64" s="104" t="str">
        <f t="shared" si="12"/>
        <v>2.6</v>
      </c>
      <c r="G64" s="2" t="s">
        <v>6</v>
      </c>
      <c r="H64" s="1" t="s">
        <v>104</v>
      </c>
      <c r="I64" s="174">
        <f>IF(A64&lt;&gt;"",A64/B64*2,"")</f>
        <v>0</v>
      </c>
      <c r="J64" s="218"/>
      <c r="K64" s="133" t="str">
        <f>IF(J64="","",I64)</f>
        <v/>
      </c>
      <c r="L64" s="218"/>
      <c r="M64" s="90" t="str">
        <f>IF(L64="","",I64)</f>
        <v/>
      </c>
      <c r="N64" s="160" t="str">
        <f>IF(AND(M64&lt;&gt;"",E64&gt;=0),E64,"")</f>
        <v/>
      </c>
    </row>
    <row r="65" spans="1:14" x14ac:dyDescent="0.25">
      <c r="A65" s="69">
        <f>IF(G65="a.",0,IF(G65="b.",1,IF(G65="c.",2,IF(G65="d.",3,IF(G65="e.",4,IF(G65="f.",5,IF(G65="g.",6,IF(G65="h.",7,IF(G65="i.",8,IF(G65="j.",9,""))))))))))</f>
        <v>1</v>
      </c>
      <c r="B65" s="99">
        <f t="shared" ref="B65:B66" si="13">B64</f>
        <v>4</v>
      </c>
      <c r="C65" s="93"/>
      <c r="D65" s="93"/>
      <c r="E65" s="99">
        <f>E64</f>
        <v>1</v>
      </c>
      <c r="F65" s="104" t="str">
        <f t="shared" si="12"/>
        <v>2.6</v>
      </c>
      <c r="G65" s="2" t="s">
        <v>8</v>
      </c>
      <c r="H65" s="1" t="s">
        <v>103</v>
      </c>
      <c r="I65" s="174">
        <f>IF(A65&lt;&gt;"",A65/B65*2,"")</f>
        <v>0.5</v>
      </c>
      <c r="J65" s="219" t="s">
        <v>298</v>
      </c>
      <c r="K65" s="134">
        <f>IF(J65="","",I65)</f>
        <v>0.5</v>
      </c>
      <c r="L65" s="219"/>
      <c r="M65" s="91" t="str">
        <f>IF(L65="","",I65)</f>
        <v/>
      </c>
      <c r="N65" s="161" t="str">
        <f>IF(AND(M65&lt;&gt;"",E65&gt;=0),E65,"")</f>
        <v/>
      </c>
    </row>
    <row r="66" spans="1:14" x14ac:dyDescent="0.25">
      <c r="A66" s="69">
        <f>IF(G66="a.",0,IF(G66="b.",1,IF(G66="c.",2,IF(G66="d.",3,IF(G66="e.",4,IF(G66="f.",5,IF(G66="g.",6,IF(G66="h.",7,IF(G66="i.",8,IF(G66="j.",9,""))))))))))</f>
        <v>2</v>
      </c>
      <c r="B66" s="99">
        <f t="shared" si="13"/>
        <v>4</v>
      </c>
      <c r="C66" s="93"/>
      <c r="D66" s="93"/>
      <c r="E66" s="99">
        <f>E65</f>
        <v>1</v>
      </c>
      <c r="F66" s="104" t="str">
        <f t="shared" si="12"/>
        <v>2.6</v>
      </c>
      <c r="G66" s="2" t="s">
        <v>10</v>
      </c>
      <c r="H66" s="1" t="s">
        <v>102</v>
      </c>
      <c r="I66" s="174">
        <f>IF(A66&lt;&gt;"",A66/B66*2,"")</f>
        <v>1</v>
      </c>
      <c r="J66" s="219"/>
      <c r="K66" s="134" t="str">
        <f>IF(J66="","",I66)</f>
        <v/>
      </c>
      <c r="L66" s="219"/>
      <c r="M66" s="91" t="str">
        <f>IF(L66="","",I66)</f>
        <v/>
      </c>
      <c r="N66" s="161" t="str">
        <f>IF(AND(M66&lt;&gt;"",E66&gt;=0),E66,"")</f>
        <v/>
      </c>
    </row>
    <row r="67" spans="1:14" x14ac:dyDescent="0.25">
      <c r="A67" s="69">
        <f>IF(G67="a.",0,IF(G67="b.",1,IF(G67="c.",2,IF(G67="d.",3,IF(G67="e.",4,IF(G67="f.",5,IF(G67="g.",6,IF(G67="h.",7,IF(G67="i.",8,IF(G67="j.",9,""))))))))))</f>
        <v>3</v>
      </c>
      <c r="B67" s="99">
        <f>B65</f>
        <v>4</v>
      </c>
      <c r="C67" s="93"/>
      <c r="D67" s="93"/>
      <c r="E67" s="99">
        <f>E65</f>
        <v>1</v>
      </c>
      <c r="F67" s="104" t="str">
        <f t="shared" si="12"/>
        <v>2.6</v>
      </c>
      <c r="G67" s="2" t="s">
        <v>68</v>
      </c>
      <c r="H67" s="1" t="s">
        <v>101</v>
      </c>
      <c r="I67" s="174">
        <f>IF(A67&lt;&gt;"",A67/B67*2,"")</f>
        <v>1.5</v>
      </c>
      <c r="J67" s="219"/>
      <c r="K67" s="134" t="str">
        <f>IF(J67="","",I67)</f>
        <v/>
      </c>
      <c r="L67" s="219" t="s">
        <v>298</v>
      </c>
      <c r="M67" s="91">
        <f>IF(L67="","",I67)</f>
        <v>1.5</v>
      </c>
      <c r="N67" s="161">
        <f>IF(AND(M67&lt;&gt;"",E67&gt;=0),E67,"")</f>
        <v>1</v>
      </c>
    </row>
    <row r="68" spans="1:14" x14ac:dyDescent="0.25">
      <c r="A68" s="69">
        <f>IF(G68="a.",0,IF(G68="b.",1,IF(G68="c.",2,IF(G68="d.",3,IF(G68="e.",4,IF(G68="f.",5,IF(G68="g.",6,IF(G68="h.",7,IF(G68="i.",8,IF(G68="j.",9,""))))))))))</f>
        <v>4</v>
      </c>
      <c r="B68" s="99">
        <f>B66</f>
        <v>4</v>
      </c>
      <c r="C68" s="93"/>
      <c r="D68" s="93"/>
      <c r="E68" s="99">
        <f>E66</f>
        <v>1</v>
      </c>
      <c r="F68" s="104" t="str">
        <f t="shared" si="12"/>
        <v>2.6</v>
      </c>
      <c r="G68" s="2" t="s">
        <v>92</v>
      </c>
      <c r="H68" s="1" t="s">
        <v>100</v>
      </c>
      <c r="I68" s="174">
        <f>IF(A68&lt;&gt;"",A68/B68*2,"")</f>
        <v>2</v>
      </c>
      <c r="J68" s="219"/>
      <c r="K68" s="134" t="str">
        <f>IF(J68="","",I68)</f>
        <v/>
      </c>
      <c r="L68" s="219"/>
      <c r="M68" s="91" t="str">
        <f>IF(L68="","",I68)</f>
        <v/>
      </c>
      <c r="N68" s="161" t="str">
        <f>IF(AND(M68&lt;&gt;"",E68&gt;=0),E68,"")</f>
        <v/>
      </c>
    </row>
    <row r="69" spans="1:14" x14ac:dyDescent="0.25">
      <c r="A69" s="111"/>
      <c r="B69" s="111"/>
      <c r="C69" s="112"/>
      <c r="D69" s="112"/>
      <c r="E69" s="112"/>
      <c r="F69" s="104" t="str">
        <f t="shared" si="12"/>
        <v>2.6</v>
      </c>
      <c r="G69" s="135" t="str">
        <f>"odd. B "&amp;F69</f>
        <v>odd. B 2.6</v>
      </c>
      <c r="H69" s="136" t="s">
        <v>18</v>
      </c>
      <c r="I69" s="137"/>
      <c r="J69" s="137"/>
      <c r="K69" s="138"/>
      <c r="L69" s="137"/>
      <c r="M69" s="138"/>
      <c r="N69" s="139"/>
    </row>
    <row r="70" spans="1:14" x14ac:dyDescent="0.25">
      <c r="A70" s="119"/>
      <c r="B70" s="119"/>
      <c r="C70" s="119"/>
      <c r="D70" s="119"/>
      <c r="E70" s="119"/>
      <c r="F70" s="104" t="str">
        <f t="shared" si="12"/>
        <v>2.6</v>
      </c>
      <c r="G70" s="140"/>
      <c r="H70" s="424"/>
      <c r="I70" s="425"/>
      <c r="J70" s="425"/>
      <c r="K70" s="425"/>
      <c r="L70" s="425"/>
      <c r="M70" s="425"/>
      <c r="N70" s="426"/>
    </row>
    <row r="71" spans="1:14" x14ac:dyDescent="0.25">
      <c r="A71" s="16"/>
      <c r="B71" s="16"/>
      <c r="C71" s="100"/>
      <c r="D71" s="100"/>
      <c r="E71" s="100"/>
      <c r="F71" s="104" t="str">
        <f t="shared" si="12"/>
        <v>2.6</v>
      </c>
      <c r="G71" s="151" t="str">
        <f>"odd. C "&amp;F71</f>
        <v>odd. C 2.6</v>
      </c>
      <c r="H71" s="152" t="s">
        <v>19</v>
      </c>
      <c r="I71" s="153"/>
      <c r="J71" s="153"/>
      <c r="K71" s="154"/>
      <c r="L71" s="153"/>
      <c r="M71" s="154"/>
      <c r="N71" s="155"/>
    </row>
    <row r="72" spans="1:14" ht="15.75" thickBot="1" x14ac:dyDescent="0.3">
      <c r="A72" s="117"/>
      <c r="B72" s="117"/>
      <c r="C72" s="117"/>
      <c r="D72" s="117"/>
      <c r="E72" s="117"/>
      <c r="F72" s="104" t="str">
        <f t="shared" si="12"/>
        <v>2.6</v>
      </c>
      <c r="G72" s="156"/>
      <c r="H72" s="427"/>
      <c r="I72" s="428"/>
      <c r="J72" s="428"/>
      <c r="K72" s="428"/>
      <c r="L72" s="428"/>
      <c r="M72" s="428"/>
      <c r="N72" s="429"/>
    </row>
  </sheetData>
  <sheetProtection algorithmName="SHA-512" hashValue="pIPFYzv7Tez6HsXsS4wLQ9XwlKdrOAZiHgQw8R7zrVzmHr8A6ZNK2zI8xa8F3NmrXC3485V/ZcNAFoqGuz7uYQ==" saltValue="7KivrZ+DV9IwnOAQ1cDShQ==" spinCount="100000" sheet="1" objects="1" scenarios="1" formatCells="0"/>
  <mergeCells count="15">
    <mergeCell ref="G1:N1"/>
    <mergeCell ref="J2:N2"/>
    <mergeCell ref="J9:N9"/>
    <mergeCell ref="H18:N18"/>
    <mergeCell ref="H20:N20"/>
    <mergeCell ref="H29:N29"/>
    <mergeCell ref="H31:N31"/>
    <mergeCell ref="H38:N38"/>
    <mergeCell ref="H40:N40"/>
    <mergeCell ref="H48:N48"/>
    <mergeCell ref="H50:N50"/>
    <mergeCell ref="H58:N58"/>
    <mergeCell ref="H60:N60"/>
    <mergeCell ref="H70:N70"/>
    <mergeCell ref="H72:N72"/>
  </mergeCells>
  <conditionalFormatting sqref="I3">
    <cfRule type="expression" dxfId="146" priority="17">
      <formula>$J$8&lt;&gt;COUNTIF(I9:I111,2)</formula>
    </cfRule>
  </conditionalFormatting>
  <conditionalFormatting sqref="I4">
    <cfRule type="expression" dxfId="145" priority="18">
      <formula>$L$8&lt;&gt;COUNTIF(I9:I111,2)</formula>
    </cfRule>
  </conditionalFormatting>
  <conditionalFormatting sqref="G3">
    <cfRule type="expression" dxfId="144" priority="15">
      <formula>$J$8&lt;&gt;COUNTIF(I9:I111,2)</formula>
    </cfRule>
  </conditionalFormatting>
  <conditionalFormatting sqref="J3">
    <cfRule type="expression" dxfId="143" priority="14">
      <formula>$J$8&lt;&gt;COUNTIF(I9:I111,2)</formula>
    </cfRule>
  </conditionalFormatting>
  <conditionalFormatting sqref="K3">
    <cfRule type="expression" dxfId="142" priority="13">
      <formula>$J$8&lt;&gt;COUNTIF(I9:I111,2)</formula>
    </cfRule>
  </conditionalFormatting>
  <conditionalFormatting sqref="L3">
    <cfRule type="expression" dxfId="141" priority="12">
      <formula>$J$8&lt;&gt;COUNTIF(I9:I111,2)</formula>
    </cfRule>
  </conditionalFormatting>
  <conditionalFormatting sqref="M3">
    <cfRule type="expression" dxfId="140" priority="11">
      <formula>$J$8&lt;&gt;COUNTIF(I9:I111,2)</formula>
    </cfRule>
  </conditionalFormatting>
  <conditionalFormatting sqref="N3">
    <cfRule type="expression" dxfId="139" priority="10">
      <formula>$J$8&lt;&gt;COUNTIF(I9:I111,2)</formula>
    </cfRule>
  </conditionalFormatting>
  <conditionalFormatting sqref="G4">
    <cfRule type="expression" dxfId="138" priority="8">
      <formula>$L$8&lt;&gt;COUNTIF(I9:I111,2)</formula>
    </cfRule>
  </conditionalFormatting>
  <conditionalFormatting sqref="J4">
    <cfRule type="expression" dxfId="137" priority="7">
      <formula>$L$8&lt;&gt;COUNTIF(I9:I111,2)</formula>
    </cfRule>
  </conditionalFormatting>
  <conditionalFormatting sqref="K4">
    <cfRule type="expression" dxfId="136" priority="6">
      <formula>$L$8&lt;&gt;COUNTIF(I9:I111,2)</formula>
    </cfRule>
  </conditionalFormatting>
  <conditionalFormatting sqref="L4">
    <cfRule type="expression" dxfId="135" priority="5">
      <formula>$L$8&lt;&gt;COUNTIF(I9:I111,2)</formula>
    </cfRule>
  </conditionalFormatting>
  <conditionalFormatting sqref="M4">
    <cfRule type="expression" dxfId="134" priority="4">
      <formula>$L$8&lt;&gt;COUNTIF(I9:I111,2)</formula>
    </cfRule>
  </conditionalFormatting>
  <conditionalFormatting sqref="N4">
    <cfRule type="expression" dxfId="133" priority="3">
      <formula>$L$8&lt;&gt;COUNTIF(I9:I111,2)</formula>
    </cfRule>
  </conditionalFormatting>
  <conditionalFormatting sqref="H3">
    <cfRule type="expression" dxfId="132" priority="2">
      <formula>$J$8&lt;&gt;COUNTIF(I9:I111,2)</formula>
    </cfRule>
  </conditionalFormatting>
  <conditionalFormatting sqref="H4">
    <cfRule type="expression" dxfId="131" priority="1">
      <formula>$L$8&lt;&gt;COUNTIF(I9:I111,2)</formula>
    </cfRule>
  </conditionalFormatting>
  <pageMargins left="0.70866141732283472" right="0.70866141732283472" top="0.53" bottom="0.88" header="0.31496062992125984" footer="0.38"/>
  <pageSetup paperSize="9" scale="56" fitToHeight="0" orientation="landscape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opLeftCell="G1" zoomScale="85" zoomScaleNormal="85" workbookViewId="0">
      <pane xSplit="1" ySplit="9" topLeftCell="H10" activePane="bottomRight" state="frozen"/>
      <selection activeCell="G1" sqref="G1"/>
      <selection pane="topRight" activeCell="H1" sqref="H1"/>
      <selection pane="bottomLeft" activeCell="G10" sqref="G10"/>
      <selection pane="bottomRight" activeCell="H10" sqref="H10"/>
    </sheetView>
  </sheetViews>
  <sheetFormatPr defaultColWidth="9.140625" defaultRowHeight="15" outlineLevelRow="1" outlineLevelCol="1" x14ac:dyDescent="0.25"/>
  <cols>
    <col min="1" max="1" width="1.85546875" style="5" hidden="1" customWidth="1" outlineLevel="1"/>
    <col min="2" max="2" width="4" style="5" hidden="1" customWidth="1" outlineLevel="1"/>
    <col min="3" max="4" width="4" style="102" hidden="1" customWidth="1" outlineLevel="1"/>
    <col min="5" max="5" width="4.5703125" style="102" hidden="1" customWidth="1" outlineLevel="1"/>
    <col min="6" max="6" width="3.5703125" style="80" hidden="1" customWidth="1" outlineLevel="1"/>
    <col min="7" max="7" width="8.7109375" style="5" customWidth="1" collapsed="1"/>
    <col min="8" max="8" width="130.7109375" style="5" customWidth="1"/>
    <col min="9" max="10" width="15.7109375" style="5" customWidth="1"/>
    <col min="11" max="11" width="15.7109375" style="84" customWidth="1"/>
    <col min="12" max="12" width="15.7109375" style="5" customWidth="1"/>
    <col min="13" max="14" width="15.7109375" style="84" customWidth="1"/>
    <col min="15" max="16384" width="9.140625" style="5"/>
  </cols>
  <sheetData>
    <row r="1" spans="1:14" ht="15.75" thickBot="1" x14ac:dyDescent="0.3">
      <c r="A1" s="118"/>
      <c r="B1" s="118"/>
      <c r="C1" s="118"/>
      <c r="D1" s="118"/>
      <c r="E1" s="118"/>
      <c r="F1" s="118"/>
      <c r="G1" s="430" t="s">
        <v>133</v>
      </c>
      <c r="H1" s="431"/>
      <c r="I1" s="431"/>
      <c r="J1" s="431"/>
      <c r="K1" s="431"/>
      <c r="L1" s="431"/>
      <c r="M1" s="431"/>
      <c r="N1" s="432"/>
    </row>
    <row r="2" spans="1:14" ht="63.75" thickBot="1" x14ac:dyDescent="0.3">
      <c r="A2" s="6"/>
      <c r="B2" s="6"/>
      <c r="C2" s="37"/>
      <c r="D2" s="37"/>
      <c r="E2" s="37"/>
      <c r="F2" s="37"/>
      <c r="G2" s="122" t="s">
        <v>132</v>
      </c>
      <c r="H2" s="186" t="s">
        <v>291</v>
      </c>
      <c r="I2" s="124">
        <f>I3+I4</f>
        <v>6.333333333333333</v>
      </c>
      <c r="J2" s="433" t="str">
        <f>"/    "&amp;I8&amp;" bodů"</f>
        <v>/    12 bodů</v>
      </c>
      <c r="K2" s="433"/>
      <c r="L2" s="433"/>
      <c r="M2" s="433"/>
      <c r="N2" s="434"/>
    </row>
    <row r="3" spans="1:14" ht="21" x14ac:dyDescent="0.25">
      <c r="A3" s="109"/>
      <c r="B3" s="109"/>
      <c r="C3" s="110"/>
      <c r="D3" s="110"/>
      <c r="E3" s="110"/>
      <c r="F3" s="110"/>
      <c r="G3" s="177" t="str">
        <f>"B "&amp;$G$2</f>
        <v>B 3.</v>
      </c>
      <c r="H3" s="178" t="str">
        <f>IF($J$8&lt;&gt;COUNTIF(I9:I111,2),"Počet odpovědí neodpovídá počtu otázek, prosím zkontrolujte!",$H$2)</f>
        <v>Digitální dvojče, rozšířená realita, virtuální realita
– vývoj a konstrukce výrobku</v>
      </c>
      <c r="I3" s="129">
        <f>K8</f>
        <v>2.6666666666666665</v>
      </c>
      <c r="J3" s="207" t="str">
        <f>$J$2</f>
        <v>/    12 bodů</v>
      </c>
      <c r="K3" s="207"/>
      <c r="L3" s="207"/>
      <c r="M3" s="207"/>
      <c r="N3" s="208"/>
    </row>
    <row r="4" spans="1:14" ht="21.75" thickBot="1" x14ac:dyDescent="0.3">
      <c r="A4" s="113"/>
      <c r="B4" s="113"/>
      <c r="C4" s="114"/>
      <c r="D4" s="114"/>
      <c r="E4" s="114"/>
      <c r="F4" s="114"/>
      <c r="G4" s="175" t="str">
        <f>"C "&amp;$G$2</f>
        <v>C 3.</v>
      </c>
      <c r="H4" s="176" t="str">
        <f>IF($L$8&lt;&gt;COUNTIF(I9:I111,2),"Počet odpovědí neodpovídá počtu otázek, prosím zkontrolujte!",$H$2)</f>
        <v>Digitální dvojče, rozšířená realita, virtuální realita
– vývoj a konstrukce výrobku</v>
      </c>
      <c r="I4" s="141">
        <f>N8</f>
        <v>3.6666666666666665</v>
      </c>
      <c r="J4" s="142" t="str">
        <f>$J$2</f>
        <v>/    12 bodů</v>
      </c>
      <c r="K4" s="143"/>
      <c r="L4" s="144"/>
      <c r="M4" s="145"/>
      <c r="N4" s="146"/>
    </row>
    <row r="5" spans="1:14" hidden="1" outlineLevel="1" x14ac:dyDescent="0.25">
      <c r="A5" s="71"/>
      <c r="B5" s="71"/>
      <c r="C5" s="92"/>
      <c r="D5" s="92"/>
      <c r="E5" s="92"/>
      <c r="F5" s="92"/>
      <c r="G5" s="19"/>
      <c r="H5" s="23"/>
      <c r="I5" s="24"/>
      <c r="J5" s="17" t="str">
        <f>'01'!J5</f>
        <v>současný stav</v>
      </c>
      <c r="K5" s="17" t="str">
        <f>'01'!K5</f>
        <v>současný stav</v>
      </c>
      <c r="L5" s="17" t="str">
        <f>'01'!L5</f>
        <v>plánovaný stav</v>
      </c>
      <c r="M5" s="17" t="str">
        <f>'01'!M5</f>
        <v>plánovaný stav</v>
      </c>
      <c r="N5" s="17" t="str">
        <f>'01'!N5</f>
        <v>pokrok</v>
      </c>
    </row>
    <row r="6" spans="1:14" hidden="1" outlineLevel="1" x14ac:dyDescent="0.25">
      <c r="A6" s="11"/>
      <c r="B6" s="11"/>
      <c r="C6" s="93"/>
      <c r="D6" s="93"/>
      <c r="E6" s="93"/>
      <c r="F6" s="93"/>
      <c r="G6" s="20"/>
      <c r="H6" s="25"/>
      <c r="I6" s="26"/>
      <c r="J6" s="18" t="str">
        <f>'01'!J6</f>
        <v>výběr úrovně</v>
      </c>
      <c r="K6" s="18" t="str">
        <f>'01'!K6</f>
        <v>bodové hodnocení</v>
      </c>
      <c r="L6" s="18" t="str">
        <f>'01'!L6</f>
        <v>výběr úrovně</v>
      </c>
      <c r="M6" s="18" t="str">
        <f>'01'!M6</f>
        <v>bodové hodnocení</v>
      </c>
      <c r="N6" s="18" t="str">
        <f>'01'!N6</f>
        <v>bodové hodnocení</v>
      </c>
    </row>
    <row r="7" spans="1:14" hidden="1" outlineLevel="1" x14ac:dyDescent="0.25">
      <c r="A7" s="11"/>
      <c r="B7" s="11"/>
      <c r="C7" s="93"/>
      <c r="D7" s="93"/>
      <c r="E7" s="93"/>
      <c r="F7" s="93"/>
      <c r="G7" s="20"/>
      <c r="H7" s="25"/>
      <c r="I7" s="26"/>
      <c r="J7" s="18"/>
      <c r="K7" s="18" t="str">
        <f>'01'!K7</f>
        <v>B</v>
      </c>
      <c r="L7" s="18"/>
      <c r="M7" s="18"/>
      <c r="N7" s="18" t="str">
        <f>'01'!N7</f>
        <v>C</v>
      </c>
    </row>
    <row r="8" spans="1:14" ht="15.75" hidden="1" outlineLevel="1" thickBot="1" x14ac:dyDescent="0.3">
      <c r="A8" s="27"/>
      <c r="B8" s="27"/>
      <c r="C8" s="94"/>
      <c r="D8" s="94"/>
      <c r="E8" s="94"/>
      <c r="F8" s="94"/>
      <c r="G8" s="21"/>
      <c r="H8" s="27"/>
      <c r="I8" s="38">
        <f>COUNTIF(I9:I67,2)*2</f>
        <v>12</v>
      </c>
      <c r="J8" s="22">
        <f>COUNTIF(J9:J67,"x")</f>
        <v>6</v>
      </c>
      <c r="K8" s="81">
        <f>SUBTOTAL(9,K9:K67)</f>
        <v>2.6666666666666665</v>
      </c>
      <c r="L8" s="22">
        <f>COUNTIF(L9:L67,"x")</f>
        <v>6</v>
      </c>
      <c r="M8" s="81">
        <f>SUBTOTAL(9,M9:M67)</f>
        <v>6.333333333333333</v>
      </c>
      <c r="N8" s="85">
        <f>SUBTOTAL(9,N9:N67)</f>
        <v>3.6666666666666665</v>
      </c>
    </row>
    <row r="9" spans="1:14" s="29" customFormat="1" ht="12.75" collapsed="1" thickBot="1" x14ac:dyDescent="0.3">
      <c r="A9" s="28"/>
      <c r="B9" s="28"/>
      <c r="C9" s="95"/>
      <c r="D9" s="95"/>
      <c r="E9" s="95"/>
      <c r="F9" s="95"/>
      <c r="G9" s="125"/>
      <c r="H9" s="189"/>
      <c r="I9" s="127"/>
      <c r="J9" s="435"/>
      <c r="K9" s="435"/>
      <c r="L9" s="435"/>
      <c r="M9" s="435"/>
      <c r="N9" s="436"/>
    </row>
    <row r="10" spans="1:14" x14ac:dyDescent="0.25">
      <c r="A10" s="72"/>
      <c r="B10" s="72"/>
      <c r="C10" s="96"/>
      <c r="D10" s="96"/>
      <c r="E10" s="96"/>
      <c r="F10" s="105">
        <v>1</v>
      </c>
      <c r="G10" s="165" t="s">
        <v>17</v>
      </c>
      <c r="H10" s="166" t="s">
        <v>134</v>
      </c>
      <c r="I10" s="167"/>
      <c r="J10" s="162" t="str">
        <f>$J$5</f>
        <v>současný stav</v>
      </c>
      <c r="K10" s="130" t="str">
        <f>$K$5</f>
        <v>současný stav</v>
      </c>
      <c r="L10" s="162" t="str">
        <f>$L$5</f>
        <v>plánovaný stav</v>
      </c>
      <c r="M10" s="86" t="str">
        <f>$M$5</f>
        <v>plánovaný stav</v>
      </c>
      <c r="N10" s="157" t="str">
        <f>$N$5</f>
        <v>pokrok</v>
      </c>
    </row>
    <row r="11" spans="1:14" x14ac:dyDescent="0.25">
      <c r="A11" s="73"/>
      <c r="B11" s="73"/>
      <c r="C11" s="97"/>
      <c r="D11" s="97"/>
      <c r="E11" s="97"/>
      <c r="F11" s="108" t="str">
        <f>G11</f>
        <v>3.1</v>
      </c>
      <c r="G11" s="168" t="str">
        <f>$G$2&amp;F10</f>
        <v>3.1</v>
      </c>
      <c r="H11" s="169" t="s">
        <v>135</v>
      </c>
      <c r="I11" s="170"/>
      <c r="J11" s="163" t="str">
        <f>$J$6</f>
        <v>výběr úrovně</v>
      </c>
      <c r="K11" s="131" t="str">
        <f>$K$6</f>
        <v>bodové hodnocení</v>
      </c>
      <c r="L11" s="163" t="str">
        <f>$L$6</f>
        <v>výběr úrovně</v>
      </c>
      <c r="M11" s="88" t="str">
        <f>$M$6</f>
        <v>bodové hodnocení</v>
      </c>
      <c r="N11" s="158" t="str">
        <f>$N$6</f>
        <v>bodové hodnocení</v>
      </c>
    </row>
    <row r="12" spans="1:14" ht="15.75" thickBot="1" x14ac:dyDescent="0.3">
      <c r="A12" s="73"/>
      <c r="B12" s="73"/>
      <c r="C12" s="97"/>
      <c r="D12" s="97"/>
      <c r="E12" s="97"/>
      <c r="F12" s="104" t="str">
        <f>F11</f>
        <v>3.1</v>
      </c>
      <c r="G12" s="171"/>
      <c r="H12" s="172"/>
      <c r="I12" s="173"/>
      <c r="J12" s="164"/>
      <c r="K12" s="132" t="str">
        <f>$K$7</f>
        <v>B</v>
      </c>
      <c r="L12" s="164"/>
      <c r="M12" s="89"/>
      <c r="N12" s="159" t="str">
        <f>$N$7</f>
        <v>C</v>
      </c>
    </row>
    <row r="13" spans="1:14" x14ac:dyDescent="0.25">
      <c r="A13" s="69">
        <f>IF(G13="a.",0,IF(G13="b.",1,IF(G13="c.",2,IF(G13="d.",3,IF(G13="e.",4,IF(G13="f.",5,IF(G13="g.",6,IF(G13="h.",7,IF(G13="i.",8,IF(G13="j.",9,""))))))))))</f>
        <v>0</v>
      </c>
      <c r="B13" s="103">
        <f>MAX(A13:A16)</f>
        <v>2</v>
      </c>
      <c r="C13" s="98">
        <f>SUM(K13:K16)</f>
        <v>1</v>
      </c>
      <c r="D13" s="98">
        <f>SUM(M13:M16)</f>
        <v>2</v>
      </c>
      <c r="E13" s="98">
        <f>D13-C13</f>
        <v>1</v>
      </c>
      <c r="F13" s="104" t="str">
        <f t="shared" ref="F13:F19" si="0">F12</f>
        <v>3.1</v>
      </c>
      <c r="G13" s="9" t="s">
        <v>6</v>
      </c>
      <c r="H13" s="77" t="s">
        <v>7</v>
      </c>
      <c r="I13" s="174">
        <f>IF(A13&lt;&gt;"",A13/B13*2,"")</f>
        <v>0</v>
      </c>
      <c r="J13" s="218"/>
      <c r="K13" s="133" t="str">
        <f>IF(J13="","",I13)</f>
        <v/>
      </c>
      <c r="L13" s="218"/>
      <c r="M13" s="90" t="str">
        <f>IF(L13="","",I13)</f>
        <v/>
      </c>
      <c r="N13" s="160" t="str">
        <f>IF(AND(M13&lt;&gt;"",E13&gt;=0),E13,"")</f>
        <v/>
      </c>
    </row>
    <row r="14" spans="1:14" x14ac:dyDescent="0.25">
      <c r="A14" s="69">
        <f>IF(G14="a.",0,IF(G14="b.",1,IF(G14="c.",2,IF(G14="d.",3,IF(G14="e.",4,IF(G14="f.",5,IF(G14="g.",6,IF(G14="h.",7,IF(G14="i.",8,IF(G14="j.",9,""))))))))))</f>
        <v>1</v>
      </c>
      <c r="B14" s="99">
        <f t="shared" ref="B14:B15" si="1">B13</f>
        <v>2</v>
      </c>
      <c r="C14" s="93"/>
      <c r="D14" s="93"/>
      <c r="E14" s="99">
        <f>E13</f>
        <v>1</v>
      </c>
      <c r="F14" s="104" t="str">
        <f t="shared" si="0"/>
        <v>3.1</v>
      </c>
      <c r="G14" s="2" t="s">
        <v>8</v>
      </c>
      <c r="H14" s="78" t="s">
        <v>136</v>
      </c>
      <c r="I14" s="174">
        <f>IF(A14&lt;&gt;"",A14/B14*2,"")</f>
        <v>1</v>
      </c>
      <c r="J14" s="219" t="s">
        <v>298</v>
      </c>
      <c r="K14" s="134">
        <f>IF(J14="","",I14)</f>
        <v>1</v>
      </c>
      <c r="L14" s="219"/>
      <c r="M14" s="91" t="str">
        <f>IF(L14="","",I14)</f>
        <v/>
      </c>
      <c r="N14" s="161" t="str">
        <f>IF(AND(M14&lt;&gt;"",E14&gt;=0),E14,"")</f>
        <v/>
      </c>
    </row>
    <row r="15" spans="1:14" x14ac:dyDescent="0.25">
      <c r="A15" s="69">
        <f>IF(G15="a.",0,IF(G15="b.",1,IF(G15="c.",2,IF(G15="d.",3,IF(G15="e.",4,IF(G15="f.",5,IF(G15="g.",6,IF(G15="h.",7,IF(G15="i.",8,IF(G15="j.",9,""))))))))))</f>
        <v>2</v>
      </c>
      <c r="B15" s="99">
        <f t="shared" si="1"/>
        <v>2</v>
      </c>
      <c r="C15" s="93"/>
      <c r="D15" s="93"/>
      <c r="E15" s="99">
        <f>E14</f>
        <v>1</v>
      </c>
      <c r="F15" s="104" t="str">
        <f t="shared" si="0"/>
        <v>3.1</v>
      </c>
      <c r="G15" s="2" t="s">
        <v>10</v>
      </c>
      <c r="H15" s="78" t="s">
        <v>137</v>
      </c>
      <c r="I15" s="174">
        <f>IF(A15&lt;&gt;"",A15/B15*2,"")</f>
        <v>2</v>
      </c>
      <c r="J15" s="219"/>
      <c r="K15" s="134" t="str">
        <f>IF(J15="","",I15)</f>
        <v/>
      </c>
      <c r="L15" s="219" t="s">
        <v>298</v>
      </c>
      <c r="M15" s="91">
        <f>IF(L15="","",I15)</f>
        <v>2</v>
      </c>
      <c r="N15" s="161">
        <f>IF(AND(M15&lt;&gt;"",E15&gt;=0),E15,"")</f>
        <v>1</v>
      </c>
    </row>
    <row r="16" spans="1:14" x14ac:dyDescent="0.25">
      <c r="A16" s="115"/>
      <c r="B16" s="115"/>
      <c r="C16" s="116"/>
      <c r="D16" s="116"/>
      <c r="E16" s="116"/>
      <c r="F16" s="104" t="str">
        <f t="shared" si="0"/>
        <v>3.1</v>
      </c>
      <c r="G16" s="135" t="str">
        <f>"odd. B "&amp;F16</f>
        <v>odd. B 3.1</v>
      </c>
      <c r="H16" s="136" t="s">
        <v>18</v>
      </c>
      <c r="I16" s="137"/>
      <c r="J16" s="137"/>
      <c r="K16" s="138"/>
      <c r="L16" s="137"/>
      <c r="M16" s="138"/>
      <c r="N16" s="139"/>
    </row>
    <row r="17" spans="1:14" x14ac:dyDescent="0.25">
      <c r="A17" s="119"/>
      <c r="B17" s="119"/>
      <c r="C17" s="119"/>
      <c r="D17" s="119"/>
      <c r="E17" s="119"/>
      <c r="F17" s="104" t="str">
        <f t="shared" si="0"/>
        <v>3.1</v>
      </c>
      <c r="G17" s="140"/>
      <c r="H17" s="424"/>
      <c r="I17" s="425"/>
      <c r="J17" s="425"/>
      <c r="K17" s="425"/>
      <c r="L17" s="425"/>
      <c r="M17" s="425"/>
      <c r="N17" s="426"/>
    </row>
    <row r="18" spans="1:14" x14ac:dyDescent="0.25">
      <c r="A18" s="16"/>
      <c r="B18" s="16"/>
      <c r="C18" s="100"/>
      <c r="D18" s="100"/>
      <c r="E18" s="100"/>
      <c r="F18" s="104" t="str">
        <f t="shared" si="0"/>
        <v>3.1</v>
      </c>
      <c r="G18" s="151" t="str">
        <f>"odd. C "&amp;F18</f>
        <v>odd. C 3.1</v>
      </c>
      <c r="H18" s="152" t="s">
        <v>19</v>
      </c>
      <c r="I18" s="153"/>
      <c r="J18" s="153"/>
      <c r="K18" s="154"/>
      <c r="L18" s="153"/>
      <c r="M18" s="154"/>
      <c r="N18" s="155"/>
    </row>
    <row r="19" spans="1:14" ht="15.75" thickBot="1" x14ac:dyDescent="0.3">
      <c r="A19" s="117"/>
      <c r="B19" s="117"/>
      <c r="C19" s="117"/>
      <c r="D19" s="117"/>
      <c r="E19" s="117"/>
      <c r="F19" s="104" t="str">
        <f t="shared" si="0"/>
        <v>3.1</v>
      </c>
      <c r="G19" s="156"/>
      <c r="H19" s="427"/>
      <c r="I19" s="428"/>
      <c r="J19" s="428"/>
      <c r="K19" s="428"/>
      <c r="L19" s="428"/>
      <c r="M19" s="428"/>
      <c r="N19" s="429"/>
    </row>
    <row r="20" spans="1:14" collapsed="1" x14ac:dyDescent="0.25">
      <c r="A20" s="72"/>
      <c r="B20" s="72"/>
      <c r="C20" s="96"/>
      <c r="D20" s="96"/>
      <c r="E20" s="96"/>
      <c r="F20" s="105">
        <v>2</v>
      </c>
      <c r="G20" s="13" t="s">
        <v>17</v>
      </c>
      <c r="H20" s="3" t="s">
        <v>138</v>
      </c>
      <c r="I20" s="7"/>
      <c r="J20" s="162" t="str">
        <f>$J$5</f>
        <v>současný stav</v>
      </c>
      <c r="K20" s="130" t="str">
        <f>$K$5</f>
        <v>současný stav</v>
      </c>
      <c r="L20" s="162" t="str">
        <f>$L$5</f>
        <v>plánovaný stav</v>
      </c>
      <c r="M20" s="86" t="str">
        <f>$M$5</f>
        <v>plánovaný stav</v>
      </c>
      <c r="N20" s="157" t="str">
        <f>$N$5</f>
        <v>pokrok</v>
      </c>
    </row>
    <row r="21" spans="1:14" x14ac:dyDescent="0.25">
      <c r="A21" s="73"/>
      <c r="B21" s="73"/>
      <c r="C21" s="97"/>
      <c r="D21" s="97"/>
      <c r="E21" s="97"/>
      <c r="F21" s="108" t="str">
        <f>G21</f>
        <v>3.2</v>
      </c>
      <c r="G21" s="70" t="str">
        <f>$G$2&amp;F20</f>
        <v>3.2</v>
      </c>
      <c r="H21" s="4" t="s">
        <v>139</v>
      </c>
      <c r="I21" s="12"/>
      <c r="J21" s="163" t="str">
        <f>$J$6</f>
        <v>výběr úrovně</v>
      </c>
      <c r="K21" s="131" t="str">
        <f>$K$6</f>
        <v>bodové hodnocení</v>
      </c>
      <c r="L21" s="163" t="str">
        <f>$L$6</f>
        <v>výběr úrovně</v>
      </c>
      <c r="M21" s="88" t="str">
        <f>$M$6</f>
        <v>bodové hodnocení</v>
      </c>
      <c r="N21" s="158" t="str">
        <f>$N$6</f>
        <v>bodové hodnocení</v>
      </c>
    </row>
    <row r="22" spans="1:14" ht="15.75" thickBot="1" x14ac:dyDescent="0.3">
      <c r="A22" s="74"/>
      <c r="B22" s="74"/>
      <c r="C22" s="101"/>
      <c r="D22" s="101"/>
      <c r="E22" s="101"/>
      <c r="F22" s="104" t="str">
        <f t="shared" ref="F22:F29" si="2">F21</f>
        <v>3.2</v>
      </c>
      <c r="G22" s="14"/>
      <c r="H22" s="15"/>
      <c r="I22" s="8"/>
      <c r="J22" s="164"/>
      <c r="K22" s="132" t="str">
        <f>$K$7</f>
        <v>B</v>
      </c>
      <c r="L22" s="164"/>
      <c r="M22" s="89"/>
      <c r="N22" s="159" t="str">
        <f>$N$7</f>
        <v>C</v>
      </c>
    </row>
    <row r="23" spans="1:14" x14ac:dyDescent="0.25">
      <c r="A23" s="69">
        <f>IF(G23="a.",0,IF(G23="b.",1,IF(G23="c.",2,IF(G23="d.",3,IF(G23="e.",4,IF(G23="f.",5,IF(G23="g.",6,IF(G23="h.",7,IF(G23="i.",8,IF(G23="j.",9,""))))))))))</f>
        <v>0</v>
      </c>
      <c r="B23" s="103">
        <f>MAX(A23:A26)</f>
        <v>2</v>
      </c>
      <c r="C23" s="98">
        <f>SUM(K23:K26)</f>
        <v>1</v>
      </c>
      <c r="D23" s="98">
        <f>SUM(M23:M26)</f>
        <v>1</v>
      </c>
      <c r="E23" s="98">
        <f>D23-C23</f>
        <v>0</v>
      </c>
      <c r="F23" s="104" t="str">
        <f t="shared" si="2"/>
        <v>3.2</v>
      </c>
      <c r="G23" s="9" t="s">
        <v>6</v>
      </c>
      <c r="H23" s="10" t="s">
        <v>140</v>
      </c>
      <c r="I23" s="79">
        <f>IF(A23&lt;&gt;"",A23/B23*2,"")</f>
        <v>0</v>
      </c>
      <c r="J23" s="218"/>
      <c r="K23" s="133" t="str">
        <f>IF(J23="","",I23)</f>
        <v/>
      </c>
      <c r="L23" s="218"/>
      <c r="M23" s="90" t="str">
        <f>IF(L23="","",I23)</f>
        <v/>
      </c>
      <c r="N23" s="160" t="str">
        <f>IF(AND(M23&lt;&gt;"",E23&gt;=0),E23,"")</f>
        <v/>
      </c>
    </row>
    <row r="24" spans="1:14" x14ac:dyDescent="0.25">
      <c r="A24" s="69">
        <f>IF(G24="a.",0,IF(G24="b.",1,IF(G24="c.",2,IF(G24="d.",3,IF(G24="e.",4,IF(G24="f.",5,IF(G24="g.",6,IF(G24="h.",7,IF(G24="i.",8,IF(G24="j.",9,""))))))))))</f>
        <v>1</v>
      </c>
      <c r="B24" s="99">
        <f t="shared" ref="B24:B25" si="3">B23</f>
        <v>2</v>
      </c>
      <c r="C24" s="93"/>
      <c r="D24" s="93"/>
      <c r="E24" s="99">
        <f>E23</f>
        <v>0</v>
      </c>
      <c r="F24" s="104" t="str">
        <f t="shared" si="2"/>
        <v>3.2</v>
      </c>
      <c r="G24" s="2" t="s">
        <v>8</v>
      </c>
      <c r="H24" s="1" t="s">
        <v>141</v>
      </c>
      <c r="I24" s="79">
        <f>IF(A24&lt;&gt;"",A24/B24*2,"")</f>
        <v>1</v>
      </c>
      <c r="J24" s="219" t="s">
        <v>298</v>
      </c>
      <c r="K24" s="134">
        <f>IF(J24="","",I24)</f>
        <v>1</v>
      </c>
      <c r="L24" s="219" t="s">
        <v>298</v>
      </c>
      <c r="M24" s="91">
        <f>IF(L24="","",I24)</f>
        <v>1</v>
      </c>
      <c r="N24" s="161">
        <f>IF(AND(M24&lt;&gt;"",E24&gt;=0),E24,"")</f>
        <v>0</v>
      </c>
    </row>
    <row r="25" spans="1:14" x14ac:dyDescent="0.25">
      <c r="A25" s="69">
        <f>IF(G25="a.",0,IF(G25="b.",1,IF(G25="c.",2,IF(G25="d.",3,IF(G25="e.",4,IF(G25="f.",5,IF(G25="g.",6,IF(G25="h.",7,IF(G25="i.",8,IF(G25="j.",9,""))))))))))</f>
        <v>2</v>
      </c>
      <c r="B25" s="99">
        <f t="shared" si="3"/>
        <v>2</v>
      </c>
      <c r="C25" s="93"/>
      <c r="D25" s="93"/>
      <c r="E25" s="99">
        <f>E24</f>
        <v>0</v>
      </c>
      <c r="F25" s="104" t="str">
        <f t="shared" si="2"/>
        <v>3.2</v>
      </c>
      <c r="G25" s="2" t="s">
        <v>10</v>
      </c>
      <c r="H25" s="1" t="s">
        <v>142</v>
      </c>
      <c r="I25" s="79">
        <f>IF(A25&lt;&gt;"",A25/B25*2,"")</f>
        <v>2</v>
      </c>
      <c r="J25" s="219"/>
      <c r="K25" s="134" t="str">
        <f>IF(J25="","",I25)</f>
        <v/>
      </c>
      <c r="L25" s="219"/>
      <c r="M25" s="91" t="str">
        <f>IF(L25="","",I25)</f>
        <v/>
      </c>
      <c r="N25" s="161" t="str">
        <f>IF(AND(M25&lt;&gt;"",E25&gt;=0),E25,"")</f>
        <v/>
      </c>
    </row>
    <row r="26" spans="1:14" x14ac:dyDescent="0.25">
      <c r="A26" s="111"/>
      <c r="B26" s="111"/>
      <c r="C26" s="112"/>
      <c r="D26" s="112"/>
      <c r="E26" s="112"/>
      <c r="F26" s="104" t="str">
        <f t="shared" si="2"/>
        <v>3.2</v>
      </c>
      <c r="G26" s="135" t="str">
        <f>"odd. B "&amp;F26</f>
        <v>odd. B 3.2</v>
      </c>
      <c r="H26" s="136" t="s">
        <v>18</v>
      </c>
      <c r="I26" s="137"/>
      <c r="J26" s="137"/>
      <c r="K26" s="138"/>
      <c r="L26" s="137"/>
      <c r="M26" s="138"/>
      <c r="N26" s="139"/>
    </row>
    <row r="27" spans="1:14" x14ac:dyDescent="0.25">
      <c r="A27" s="119"/>
      <c r="B27" s="119"/>
      <c r="C27" s="119"/>
      <c r="D27" s="119"/>
      <c r="E27" s="119"/>
      <c r="F27" s="104" t="str">
        <f t="shared" si="2"/>
        <v>3.2</v>
      </c>
      <c r="G27" s="140"/>
      <c r="H27" s="424"/>
      <c r="I27" s="425"/>
      <c r="J27" s="425"/>
      <c r="K27" s="425"/>
      <c r="L27" s="425"/>
      <c r="M27" s="425"/>
      <c r="N27" s="426"/>
    </row>
    <row r="28" spans="1:14" x14ac:dyDescent="0.25">
      <c r="A28" s="16"/>
      <c r="B28" s="16"/>
      <c r="C28" s="100"/>
      <c r="D28" s="100"/>
      <c r="E28" s="100"/>
      <c r="F28" s="104" t="str">
        <f t="shared" si="2"/>
        <v>3.2</v>
      </c>
      <c r="G28" s="151" t="str">
        <f>"odd. C "&amp;F28</f>
        <v>odd. C 3.2</v>
      </c>
      <c r="H28" s="152" t="s">
        <v>19</v>
      </c>
      <c r="I28" s="153"/>
      <c r="J28" s="153"/>
      <c r="K28" s="154"/>
      <c r="L28" s="153"/>
      <c r="M28" s="154"/>
      <c r="N28" s="155"/>
    </row>
    <row r="29" spans="1:14" ht="15.75" thickBot="1" x14ac:dyDescent="0.3">
      <c r="A29" s="117"/>
      <c r="B29" s="117"/>
      <c r="C29" s="117"/>
      <c r="D29" s="117"/>
      <c r="E29" s="117"/>
      <c r="F29" s="104" t="str">
        <f t="shared" si="2"/>
        <v>3.2</v>
      </c>
      <c r="G29" s="156"/>
      <c r="H29" s="427"/>
      <c r="I29" s="428"/>
      <c r="J29" s="428"/>
      <c r="K29" s="428"/>
      <c r="L29" s="428"/>
      <c r="M29" s="428"/>
      <c r="N29" s="429"/>
    </row>
    <row r="30" spans="1:14" collapsed="1" x14ac:dyDescent="0.25">
      <c r="A30" s="72"/>
      <c r="B30" s="72"/>
      <c r="C30" s="96"/>
      <c r="D30" s="96"/>
      <c r="E30" s="96"/>
      <c r="F30" s="105">
        <v>3</v>
      </c>
      <c r="G30" s="13" t="s">
        <v>17</v>
      </c>
      <c r="H30" s="3" t="s">
        <v>143</v>
      </c>
      <c r="I30" s="7"/>
      <c r="J30" s="162" t="str">
        <f>$J$5</f>
        <v>současný stav</v>
      </c>
      <c r="K30" s="130" t="str">
        <f>$K$5</f>
        <v>současný stav</v>
      </c>
      <c r="L30" s="162" t="str">
        <f>$L$5</f>
        <v>plánovaný stav</v>
      </c>
      <c r="M30" s="86" t="str">
        <f>$M$5</f>
        <v>plánovaný stav</v>
      </c>
      <c r="N30" s="157" t="str">
        <f>$N$5</f>
        <v>pokrok</v>
      </c>
    </row>
    <row r="31" spans="1:14" x14ac:dyDescent="0.25">
      <c r="A31" s="73"/>
      <c r="B31" s="73"/>
      <c r="C31" s="97"/>
      <c r="D31" s="97"/>
      <c r="E31" s="97"/>
      <c r="F31" s="108" t="str">
        <f>G31</f>
        <v>3.3</v>
      </c>
      <c r="G31" s="70" t="str">
        <f>$G$2&amp;F30</f>
        <v>3.3</v>
      </c>
      <c r="H31" s="4" t="s">
        <v>144</v>
      </c>
      <c r="I31" s="12"/>
      <c r="J31" s="163" t="str">
        <f>$J$6</f>
        <v>výběr úrovně</v>
      </c>
      <c r="K31" s="131" t="str">
        <f>$K$6</f>
        <v>bodové hodnocení</v>
      </c>
      <c r="L31" s="163" t="str">
        <f>$L$6</f>
        <v>výběr úrovně</v>
      </c>
      <c r="M31" s="88" t="str">
        <f>$M$6</f>
        <v>bodové hodnocení</v>
      </c>
      <c r="N31" s="158" t="str">
        <f>$N$6</f>
        <v>bodové hodnocení</v>
      </c>
    </row>
    <row r="32" spans="1:14" ht="15.75" thickBot="1" x14ac:dyDescent="0.3">
      <c r="A32" s="74"/>
      <c r="B32" s="74"/>
      <c r="C32" s="101"/>
      <c r="D32" s="101"/>
      <c r="E32" s="101"/>
      <c r="F32" s="104" t="str">
        <f t="shared" ref="F32:F38" si="4">F31</f>
        <v>3.3</v>
      </c>
      <c r="G32" s="14"/>
      <c r="H32" s="15"/>
      <c r="I32" s="8"/>
      <c r="J32" s="164"/>
      <c r="K32" s="132" t="str">
        <f>$K$7</f>
        <v>B</v>
      </c>
      <c r="L32" s="164"/>
      <c r="M32" s="89"/>
      <c r="N32" s="159" t="str">
        <f>$N$7</f>
        <v>C</v>
      </c>
    </row>
    <row r="33" spans="1:14" x14ac:dyDescent="0.25">
      <c r="A33" s="69">
        <f>IF(G33="a.",0,IF(G33="b.",1,IF(G33="c.",2,IF(G33="d.",3,IF(G33="e.",4,IF(G33="f.",5,IF(G33="g.",6,IF(G33="h.",7,IF(G33="i.",8,IF(G33="j.",9,""))))))))))</f>
        <v>0</v>
      </c>
      <c r="B33" s="103">
        <f>MAX(A33:A35)</f>
        <v>1</v>
      </c>
      <c r="C33" s="98">
        <f>SUM(K33:K35)</f>
        <v>0</v>
      </c>
      <c r="D33" s="98">
        <f>SUM(M33:M35)</f>
        <v>0</v>
      </c>
      <c r="E33" s="98">
        <f>D33-C33</f>
        <v>0</v>
      </c>
      <c r="F33" s="104" t="str">
        <f t="shared" si="4"/>
        <v>3.3</v>
      </c>
      <c r="G33" s="2" t="s">
        <v>6</v>
      </c>
      <c r="H33" s="1" t="s">
        <v>7</v>
      </c>
      <c r="I33" s="79">
        <f>IF(A33&lt;&gt;"",A33/B33*2,"")</f>
        <v>0</v>
      </c>
      <c r="J33" s="218" t="s">
        <v>298</v>
      </c>
      <c r="K33" s="133">
        <f>IF(J33="","",I33)</f>
        <v>0</v>
      </c>
      <c r="L33" s="218" t="s">
        <v>298</v>
      </c>
      <c r="M33" s="90">
        <f>IF(L33="","",I33)</f>
        <v>0</v>
      </c>
      <c r="N33" s="160">
        <f>IF(AND(M33&lt;&gt;"",E33&gt;=0),E33,"")</f>
        <v>0</v>
      </c>
    </row>
    <row r="34" spans="1:14" x14ac:dyDescent="0.25">
      <c r="A34" s="69">
        <f>IF(G34="a.",0,IF(G34="b.",1,IF(G34="c.",2,IF(G34="d.",3,IF(G34="e.",4,IF(G34="f.",5,IF(G34="g.",6,IF(G34="h.",7,IF(G34="i.",8,IF(G34="j.",9,""))))))))))</f>
        <v>1</v>
      </c>
      <c r="B34" s="99">
        <f t="shared" ref="B34" si="5">B33</f>
        <v>1</v>
      </c>
      <c r="C34" s="93"/>
      <c r="D34" s="93"/>
      <c r="E34" s="99">
        <f>E33</f>
        <v>0</v>
      </c>
      <c r="F34" s="104" t="str">
        <f t="shared" si="4"/>
        <v>3.3</v>
      </c>
      <c r="G34" s="2" t="s">
        <v>8</v>
      </c>
      <c r="H34" s="1" t="s">
        <v>145</v>
      </c>
      <c r="I34" s="79">
        <f>IF(A34&lt;&gt;"",A34/B34*2,"")</f>
        <v>2</v>
      </c>
      <c r="J34" s="219"/>
      <c r="K34" s="134" t="str">
        <f>IF(J34="","",I34)</f>
        <v/>
      </c>
      <c r="L34" s="219"/>
      <c r="M34" s="91" t="str">
        <f>IF(L34="","",I34)</f>
        <v/>
      </c>
      <c r="N34" s="161" t="str">
        <f>IF(AND(M34&lt;&gt;"",E34&gt;=0),E34,"")</f>
        <v/>
      </c>
    </row>
    <row r="35" spans="1:14" x14ac:dyDescent="0.25">
      <c r="A35" s="111"/>
      <c r="B35" s="111"/>
      <c r="C35" s="112"/>
      <c r="D35" s="112"/>
      <c r="E35" s="112"/>
      <c r="F35" s="104" t="str">
        <f t="shared" si="4"/>
        <v>3.3</v>
      </c>
      <c r="G35" s="135" t="str">
        <f>"odd. B "&amp;F35</f>
        <v>odd. B 3.3</v>
      </c>
      <c r="H35" s="136" t="s">
        <v>18</v>
      </c>
      <c r="I35" s="137"/>
      <c r="J35" s="137"/>
      <c r="K35" s="138"/>
      <c r="L35" s="137"/>
      <c r="M35" s="138"/>
      <c r="N35" s="139"/>
    </row>
    <row r="36" spans="1:14" x14ac:dyDescent="0.25">
      <c r="A36" s="119"/>
      <c r="B36" s="119"/>
      <c r="C36" s="119"/>
      <c r="D36" s="119"/>
      <c r="E36" s="119"/>
      <c r="F36" s="104" t="str">
        <f t="shared" si="4"/>
        <v>3.3</v>
      </c>
      <c r="G36" s="140"/>
      <c r="H36" s="424"/>
      <c r="I36" s="425"/>
      <c r="J36" s="425"/>
      <c r="K36" s="425"/>
      <c r="L36" s="425"/>
      <c r="M36" s="425"/>
      <c r="N36" s="426"/>
    </row>
    <row r="37" spans="1:14" x14ac:dyDescent="0.25">
      <c r="A37" s="16"/>
      <c r="B37" s="16"/>
      <c r="C37" s="100"/>
      <c r="D37" s="100"/>
      <c r="E37" s="100"/>
      <c r="F37" s="104" t="str">
        <f t="shared" si="4"/>
        <v>3.3</v>
      </c>
      <c r="G37" s="151" t="str">
        <f>"odd. C "&amp;F37</f>
        <v>odd. C 3.3</v>
      </c>
      <c r="H37" s="152" t="s">
        <v>19</v>
      </c>
      <c r="I37" s="153"/>
      <c r="J37" s="153"/>
      <c r="K37" s="154"/>
      <c r="L37" s="153"/>
      <c r="M37" s="154"/>
      <c r="N37" s="155"/>
    </row>
    <row r="38" spans="1:14" ht="15.75" thickBot="1" x14ac:dyDescent="0.3">
      <c r="A38" s="117"/>
      <c r="B38" s="117"/>
      <c r="C38" s="117"/>
      <c r="D38" s="117"/>
      <c r="E38" s="117"/>
      <c r="F38" s="104" t="str">
        <f t="shared" si="4"/>
        <v>3.3</v>
      </c>
      <c r="G38" s="156"/>
      <c r="H38" s="427"/>
      <c r="I38" s="428"/>
      <c r="J38" s="428"/>
      <c r="K38" s="428"/>
      <c r="L38" s="428"/>
      <c r="M38" s="428"/>
      <c r="N38" s="429"/>
    </row>
    <row r="39" spans="1:14" collapsed="1" x14ac:dyDescent="0.25">
      <c r="A39" s="72"/>
      <c r="B39" s="72"/>
      <c r="C39" s="96"/>
      <c r="D39" s="96"/>
      <c r="E39" s="96"/>
      <c r="F39" s="105">
        <v>4</v>
      </c>
      <c r="G39" s="13" t="s">
        <v>17</v>
      </c>
      <c r="H39" s="3" t="s">
        <v>150</v>
      </c>
      <c r="I39" s="7"/>
      <c r="J39" s="162" t="str">
        <f>$J$5</f>
        <v>současný stav</v>
      </c>
      <c r="K39" s="130" t="str">
        <f>$K$5</f>
        <v>současný stav</v>
      </c>
      <c r="L39" s="162" t="str">
        <f>$L$5</f>
        <v>plánovaný stav</v>
      </c>
      <c r="M39" s="86" t="str">
        <f>$M$5</f>
        <v>plánovaný stav</v>
      </c>
      <c r="N39" s="87" t="str">
        <f>$N$5</f>
        <v>pokrok</v>
      </c>
    </row>
    <row r="40" spans="1:14" x14ac:dyDescent="0.25">
      <c r="A40" s="73"/>
      <c r="B40" s="73"/>
      <c r="C40" s="97"/>
      <c r="D40" s="97"/>
      <c r="E40" s="97"/>
      <c r="F40" s="108" t="str">
        <f>G40</f>
        <v>3.4</v>
      </c>
      <c r="G40" s="70" t="str">
        <f>$G$2&amp;F39</f>
        <v>3.4</v>
      </c>
      <c r="H40" s="4" t="s">
        <v>151</v>
      </c>
      <c r="I40" s="12"/>
      <c r="J40" s="163" t="str">
        <f>$J$6</f>
        <v>výběr úrovně</v>
      </c>
      <c r="K40" s="131" t="str">
        <f>$K$6</f>
        <v>bodové hodnocení</v>
      </c>
      <c r="L40" s="163" t="str">
        <f>$L$6</f>
        <v>výběr úrovně</v>
      </c>
      <c r="M40" s="88" t="str">
        <f>$M$6</f>
        <v>bodové hodnocení</v>
      </c>
      <c r="N40" s="158" t="str">
        <f>$N$6</f>
        <v>bodové hodnocení</v>
      </c>
    </row>
    <row r="41" spans="1:14" ht="15.75" thickBot="1" x14ac:dyDescent="0.3">
      <c r="A41" s="74"/>
      <c r="B41" s="74"/>
      <c r="C41" s="101"/>
      <c r="D41" s="101"/>
      <c r="E41" s="101"/>
      <c r="F41" s="104" t="str">
        <f t="shared" ref="F41:F49" si="6">F40</f>
        <v>3.4</v>
      </c>
      <c r="G41" s="14"/>
      <c r="H41" s="15"/>
      <c r="I41" s="8"/>
      <c r="J41" s="164"/>
      <c r="K41" s="132" t="str">
        <f>$K$7</f>
        <v>B</v>
      </c>
      <c r="L41" s="164"/>
      <c r="M41" s="89"/>
      <c r="N41" s="159" t="str">
        <f>$N$7</f>
        <v>C</v>
      </c>
    </row>
    <row r="42" spans="1:14" x14ac:dyDescent="0.25">
      <c r="A42" s="69">
        <f>IF(G42="a.",0,IF(G42="b.",1,IF(G42="c.",2,IF(G42="d.",3,IF(G42="e.",4,IF(G42="f.",5,IF(G42="g.",6,IF(G42="h.",7,IF(G42="i.",8,IF(G42="j.",9,""))))))))))</f>
        <v>0</v>
      </c>
      <c r="B42" s="103">
        <f>MAX(A42:A46)</f>
        <v>3</v>
      </c>
      <c r="C42" s="98">
        <f>SUM(K42:K46)</f>
        <v>0.66666666666666663</v>
      </c>
      <c r="D42" s="98">
        <f>SUM(M42:M46)</f>
        <v>1.3333333333333333</v>
      </c>
      <c r="E42" s="98">
        <f>D42-C42</f>
        <v>0.66666666666666663</v>
      </c>
      <c r="F42" s="104" t="str">
        <f t="shared" si="6"/>
        <v>3.4</v>
      </c>
      <c r="G42" s="2" t="s">
        <v>6</v>
      </c>
      <c r="H42" s="1" t="s">
        <v>146</v>
      </c>
      <c r="I42" s="79">
        <f>IF(A42&lt;&gt;"",A42/B42*2,"")</f>
        <v>0</v>
      </c>
      <c r="J42" s="218"/>
      <c r="K42" s="133" t="str">
        <f>IF(J42="","",I42)</f>
        <v/>
      </c>
      <c r="L42" s="218"/>
      <c r="M42" s="90" t="str">
        <f>IF(L42="","",I42)</f>
        <v/>
      </c>
      <c r="N42" s="160" t="str">
        <f>IF(AND(M42&lt;&gt;"",E42&gt;=0),E42,"")</f>
        <v/>
      </c>
    </row>
    <row r="43" spans="1:14" x14ac:dyDescent="0.25">
      <c r="A43" s="69">
        <f>IF(G43="a.",0,IF(G43="b.",1,IF(G43="c.",2,IF(G43="d.",3,IF(G43="e.",4,IF(G43="f.",5,IF(G43="g.",6,IF(G43="h.",7,IF(G43="i.",8,IF(G43="j.",9,""))))))))))</f>
        <v>1</v>
      </c>
      <c r="B43" s="99">
        <f t="shared" ref="B43" si="7">B42</f>
        <v>3</v>
      </c>
      <c r="C43" s="93"/>
      <c r="D43" s="93"/>
      <c r="E43" s="99">
        <f>E42</f>
        <v>0.66666666666666663</v>
      </c>
      <c r="F43" s="104" t="str">
        <f t="shared" si="6"/>
        <v>3.4</v>
      </c>
      <c r="G43" s="2" t="s">
        <v>8</v>
      </c>
      <c r="H43" s="1" t="s">
        <v>147</v>
      </c>
      <c r="I43" s="79">
        <f>IF(A43&lt;&gt;"",A43/B43*2,"")</f>
        <v>0.66666666666666663</v>
      </c>
      <c r="J43" s="219" t="s">
        <v>298</v>
      </c>
      <c r="K43" s="134">
        <f>IF(J43="","",I43)</f>
        <v>0.66666666666666663</v>
      </c>
      <c r="L43" s="219"/>
      <c r="M43" s="91" t="str">
        <f>IF(L43="","",I43)</f>
        <v/>
      </c>
      <c r="N43" s="161" t="str">
        <f>IF(AND(M43&lt;&gt;"",E43&gt;=0),E43,"")</f>
        <v/>
      </c>
    </row>
    <row r="44" spans="1:14" x14ac:dyDescent="0.25">
      <c r="A44" s="69">
        <f>IF(G44="a.",0,IF(G44="b.",1,IF(G44="c.",2,IF(G44="d.",3,IF(G44="e.",4,IF(G44="f.",5,IF(G44="g.",6,IF(G44="h.",7,IF(G44="i.",8,IF(G44="j.",9,""))))))))))</f>
        <v>2</v>
      </c>
      <c r="B44" s="99">
        <f>B42</f>
        <v>3</v>
      </c>
      <c r="C44" s="93"/>
      <c r="D44" s="93"/>
      <c r="E44" s="99">
        <f>E42</f>
        <v>0.66666666666666663</v>
      </c>
      <c r="F44" s="104" t="str">
        <f t="shared" si="6"/>
        <v>3.4</v>
      </c>
      <c r="G44" s="2" t="s">
        <v>10</v>
      </c>
      <c r="H44" s="1" t="s">
        <v>148</v>
      </c>
      <c r="I44" s="79">
        <f>IF(A44&lt;&gt;"",A44/B44*2,"")</f>
        <v>1.3333333333333333</v>
      </c>
      <c r="J44" s="219"/>
      <c r="K44" s="134" t="str">
        <f>IF(J44="","",I44)</f>
        <v/>
      </c>
      <c r="L44" s="219" t="s">
        <v>298</v>
      </c>
      <c r="M44" s="91">
        <f>IF(L44="","",I44)</f>
        <v>1.3333333333333333</v>
      </c>
      <c r="N44" s="161">
        <f>IF(AND(M44&lt;&gt;"",E44&gt;=0),E44,"")</f>
        <v>0.66666666666666663</v>
      </c>
    </row>
    <row r="45" spans="1:14" x14ac:dyDescent="0.25">
      <c r="A45" s="69">
        <f>IF(G45="a.",0,IF(G45="b.",1,IF(G45="c.",2,IF(G45="d.",3,IF(G45="e.",4,IF(G45="f.",5,IF(G45="g.",6,IF(G45="h.",7,IF(G45="i.",8,IF(G45="j.",9,""))))))))))</f>
        <v>3</v>
      </c>
      <c r="B45" s="99">
        <f>B43</f>
        <v>3</v>
      </c>
      <c r="C45" s="93"/>
      <c r="D45" s="93"/>
      <c r="E45" s="99">
        <f>E43</f>
        <v>0.66666666666666663</v>
      </c>
      <c r="F45" s="104" t="str">
        <f t="shared" si="6"/>
        <v>3.4</v>
      </c>
      <c r="G45" s="2" t="s">
        <v>68</v>
      </c>
      <c r="H45" s="1" t="s">
        <v>149</v>
      </c>
      <c r="I45" s="79">
        <f>IF(A45&lt;&gt;"",A45/B45*2,"")</f>
        <v>2</v>
      </c>
      <c r="J45" s="219"/>
      <c r="K45" s="134" t="str">
        <f>IF(J45="","",I45)</f>
        <v/>
      </c>
      <c r="L45" s="219"/>
      <c r="M45" s="91" t="str">
        <f>IF(L45="","",I45)</f>
        <v/>
      </c>
      <c r="N45" s="161" t="str">
        <f>IF(AND(M45&lt;&gt;"",E45&gt;=0),E45,"")</f>
        <v/>
      </c>
    </row>
    <row r="46" spans="1:14" x14ac:dyDescent="0.25">
      <c r="A46" s="111"/>
      <c r="B46" s="111"/>
      <c r="C46" s="112"/>
      <c r="D46" s="112"/>
      <c r="E46" s="112"/>
      <c r="F46" s="104" t="str">
        <f t="shared" si="6"/>
        <v>3.4</v>
      </c>
      <c r="G46" s="135" t="str">
        <f>"odd. B "&amp;F46</f>
        <v>odd. B 3.4</v>
      </c>
      <c r="H46" s="136" t="s">
        <v>18</v>
      </c>
      <c r="I46" s="137"/>
      <c r="J46" s="137"/>
      <c r="K46" s="138"/>
      <c r="L46" s="137"/>
      <c r="M46" s="138"/>
      <c r="N46" s="139"/>
    </row>
    <row r="47" spans="1:14" x14ac:dyDescent="0.25">
      <c r="A47" s="119"/>
      <c r="B47" s="119"/>
      <c r="C47" s="119"/>
      <c r="D47" s="119"/>
      <c r="E47" s="119"/>
      <c r="F47" s="104" t="str">
        <f t="shared" si="6"/>
        <v>3.4</v>
      </c>
      <c r="G47" s="140"/>
      <c r="H47" s="424"/>
      <c r="I47" s="425"/>
      <c r="J47" s="425"/>
      <c r="K47" s="425"/>
      <c r="L47" s="425"/>
      <c r="M47" s="425"/>
      <c r="N47" s="426"/>
    </row>
    <row r="48" spans="1:14" x14ac:dyDescent="0.25">
      <c r="A48" s="16"/>
      <c r="B48" s="16"/>
      <c r="C48" s="100"/>
      <c r="D48" s="100"/>
      <c r="E48" s="100"/>
      <c r="F48" s="104" t="str">
        <f t="shared" si="6"/>
        <v>3.4</v>
      </c>
      <c r="G48" s="151" t="str">
        <f>"odd. C "&amp;F48</f>
        <v>odd. C 3.4</v>
      </c>
      <c r="H48" s="152" t="s">
        <v>19</v>
      </c>
      <c r="I48" s="153"/>
      <c r="J48" s="153"/>
      <c r="K48" s="154"/>
      <c r="L48" s="153"/>
      <c r="M48" s="154"/>
      <c r="N48" s="155"/>
    </row>
    <row r="49" spans="1:14" ht="15.75" thickBot="1" x14ac:dyDescent="0.3">
      <c r="A49" s="117"/>
      <c r="B49" s="117"/>
      <c r="C49" s="117"/>
      <c r="D49" s="117"/>
      <c r="E49" s="117"/>
      <c r="F49" s="104" t="str">
        <f t="shared" si="6"/>
        <v>3.4</v>
      </c>
      <c r="G49" s="156"/>
      <c r="H49" s="427"/>
      <c r="I49" s="428"/>
      <c r="J49" s="428"/>
      <c r="K49" s="428"/>
      <c r="L49" s="428"/>
      <c r="M49" s="428"/>
      <c r="N49" s="429"/>
    </row>
    <row r="50" spans="1:14" collapsed="1" x14ac:dyDescent="0.25">
      <c r="A50" s="72"/>
      <c r="B50" s="72"/>
      <c r="C50" s="96"/>
      <c r="D50" s="96"/>
      <c r="E50" s="96"/>
      <c r="F50" s="105">
        <v>5</v>
      </c>
      <c r="G50" s="13" t="s">
        <v>17</v>
      </c>
      <c r="H50" s="3" t="s">
        <v>152</v>
      </c>
      <c r="I50" s="7"/>
      <c r="J50" s="162" t="str">
        <f>$J$5</f>
        <v>současný stav</v>
      </c>
      <c r="K50" s="82" t="str">
        <f>$K$5</f>
        <v>současný stav</v>
      </c>
      <c r="L50" s="162" t="str">
        <f>$L$5</f>
        <v>plánovaný stav</v>
      </c>
      <c r="M50" s="86" t="str">
        <f>$M$5</f>
        <v>plánovaný stav</v>
      </c>
      <c r="N50" s="157" t="str">
        <f>$N$5</f>
        <v>pokrok</v>
      </c>
    </row>
    <row r="51" spans="1:14" x14ac:dyDescent="0.25">
      <c r="A51" s="73"/>
      <c r="B51" s="73"/>
      <c r="C51" s="97"/>
      <c r="D51" s="97"/>
      <c r="E51" s="97"/>
      <c r="F51" s="108" t="str">
        <f>G51</f>
        <v>3.5</v>
      </c>
      <c r="G51" s="70" t="str">
        <f>$G$2&amp;F50</f>
        <v>3.5</v>
      </c>
      <c r="H51" s="4" t="s">
        <v>153</v>
      </c>
      <c r="I51" s="12"/>
      <c r="J51" s="163" t="str">
        <f>$J$6</f>
        <v>výběr úrovně</v>
      </c>
      <c r="K51" s="83" t="str">
        <f>$K$6</f>
        <v>bodové hodnocení</v>
      </c>
      <c r="L51" s="163" t="str">
        <f>$L$6</f>
        <v>výběr úrovně</v>
      </c>
      <c r="M51" s="88" t="str">
        <f>$M$6</f>
        <v>bodové hodnocení</v>
      </c>
      <c r="N51" s="158" t="str">
        <f>$N$6</f>
        <v>bodové hodnocení</v>
      </c>
    </row>
    <row r="52" spans="1:14" ht="15.75" thickBot="1" x14ac:dyDescent="0.3">
      <c r="A52" s="74"/>
      <c r="B52" s="74"/>
      <c r="C52" s="101"/>
      <c r="D52" s="101"/>
      <c r="E52" s="101"/>
      <c r="F52" s="104" t="str">
        <f t="shared" ref="F52:F58" si="8">F51</f>
        <v>3.5</v>
      </c>
      <c r="G52" s="14"/>
      <c r="H52" s="15"/>
      <c r="I52" s="8"/>
      <c r="J52" s="164"/>
      <c r="K52" s="132" t="str">
        <f>$K$7</f>
        <v>B</v>
      </c>
      <c r="L52" s="164"/>
      <c r="M52" s="89"/>
      <c r="N52" s="159" t="str">
        <f>$N$7</f>
        <v>C</v>
      </c>
    </row>
    <row r="53" spans="1:14" x14ac:dyDescent="0.25">
      <c r="A53" s="69">
        <f>IF(G53="a.",0,IF(G53="b.",1,IF(G53="c.",2,IF(G53="d.",3,IF(G53="e.",4,IF(G53="f.",5,IF(G53="g.",6,IF(G53="h.",7,IF(G53="i.",8,IF(G53="j.",9,""))))))))))</f>
        <v>0</v>
      </c>
      <c r="B53" s="103">
        <f>MAX(A53:A56)</f>
        <v>1</v>
      </c>
      <c r="C53" s="98">
        <f>SUM(K53:K56)</f>
        <v>0</v>
      </c>
      <c r="D53" s="98">
        <f>SUM(M53:M56)</f>
        <v>0</v>
      </c>
      <c r="E53" s="98">
        <f>D53-C53</f>
        <v>0</v>
      </c>
      <c r="F53" s="104" t="str">
        <f t="shared" si="8"/>
        <v>3.5</v>
      </c>
      <c r="G53" s="2" t="s">
        <v>6</v>
      </c>
      <c r="H53" s="1" t="s">
        <v>7</v>
      </c>
      <c r="I53" s="79">
        <f>IF(A53&lt;&gt;"",A53/B53*2,"")</f>
        <v>0</v>
      </c>
      <c r="J53" s="218" t="s">
        <v>298</v>
      </c>
      <c r="K53" s="133">
        <f>IF(J53="","",I53)</f>
        <v>0</v>
      </c>
      <c r="L53" s="218" t="s">
        <v>298</v>
      </c>
      <c r="M53" s="90">
        <f>IF(L53="","",I53)</f>
        <v>0</v>
      </c>
      <c r="N53" s="160">
        <f>IF(AND(M53&lt;&gt;"",E53&gt;=0),E53,"")</f>
        <v>0</v>
      </c>
    </row>
    <row r="54" spans="1:14" x14ac:dyDescent="0.25">
      <c r="A54" s="69">
        <f>IF(G54="a.",0,IF(G54="b.",1,IF(G54="c.",2,IF(G54="d.",3,IF(G54="e.",4,IF(G54="f.",5,IF(G54="g.",6,IF(G54="h.",7,IF(G54="i.",8,IF(G54="j.",9,""))))))))))</f>
        <v>1</v>
      </c>
      <c r="B54" s="99">
        <f t="shared" ref="B54" si="9">B53</f>
        <v>1</v>
      </c>
      <c r="C54" s="93"/>
      <c r="D54" s="93"/>
      <c r="E54" s="99">
        <f>E53</f>
        <v>0</v>
      </c>
      <c r="F54" s="104" t="str">
        <f t="shared" si="8"/>
        <v>3.5</v>
      </c>
      <c r="G54" s="2" t="s">
        <v>8</v>
      </c>
      <c r="H54" s="1" t="s">
        <v>145</v>
      </c>
      <c r="I54" s="79">
        <f>IF(A54&lt;&gt;"",A54/B54*2,"")</f>
        <v>2</v>
      </c>
      <c r="J54" s="219"/>
      <c r="K54" s="134" t="str">
        <f>IF(J54="","",I54)</f>
        <v/>
      </c>
      <c r="L54" s="219"/>
      <c r="M54" s="91" t="str">
        <f>IF(L54="","",I54)</f>
        <v/>
      </c>
      <c r="N54" s="161" t="str">
        <f>IF(AND(M54&lt;&gt;"",E54&gt;=0),E54,"")</f>
        <v/>
      </c>
    </row>
    <row r="55" spans="1:14" x14ac:dyDescent="0.25">
      <c r="A55" s="111"/>
      <c r="B55" s="111"/>
      <c r="C55" s="112"/>
      <c r="D55" s="112"/>
      <c r="E55" s="112"/>
      <c r="F55" s="104" t="str">
        <f t="shared" si="8"/>
        <v>3.5</v>
      </c>
      <c r="G55" s="135" t="str">
        <f>"odd. B "&amp;F55</f>
        <v>odd. B 3.5</v>
      </c>
      <c r="H55" s="136" t="s">
        <v>18</v>
      </c>
      <c r="I55" s="137"/>
      <c r="J55" s="137"/>
      <c r="K55" s="138"/>
      <c r="L55" s="137"/>
      <c r="M55" s="138"/>
      <c r="N55" s="139"/>
    </row>
    <row r="56" spans="1:14" x14ac:dyDescent="0.25">
      <c r="A56" s="119"/>
      <c r="B56" s="119"/>
      <c r="C56" s="119"/>
      <c r="D56" s="119"/>
      <c r="E56" s="119"/>
      <c r="F56" s="104" t="str">
        <f t="shared" si="8"/>
        <v>3.5</v>
      </c>
      <c r="G56" s="140"/>
      <c r="H56" s="424"/>
      <c r="I56" s="425"/>
      <c r="J56" s="425"/>
      <c r="K56" s="425"/>
      <c r="L56" s="425"/>
      <c r="M56" s="425"/>
      <c r="N56" s="426"/>
    </row>
    <row r="57" spans="1:14" x14ac:dyDescent="0.25">
      <c r="A57" s="16"/>
      <c r="B57" s="16"/>
      <c r="C57" s="100"/>
      <c r="D57" s="100"/>
      <c r="E57" s="100"/>
      <c r="F57" s="104" t="str">
        <f t="shared" si="8"/>
        <v>3.5</v>
      </c>
      <c r="G57" s="151" t="str">
        <f>"odd. C "&amp;F57</f>
        <v>odd. C 3.5</v>
      </c>
      <c r="H57" s="152" t="s">
        <v>19</v>
      </c>
      <c r="I57" s="153"/>
      <c r="J57" s="153"/>
      <c r="K57" s="154"/>
      <c r="L57" s="153"/>
      <c r="M57" s="154"/>
      <c r="N57" s="155"/>
    </row>
    <row r="58" spans="1:14" ht="15.75" thickBot="1" x14ac:dyDescent="0.3">
      <c r="A58" s="117"/>
      <c r="B58" s="117"/>
      <c r="C58" s="117"/>
      <c r="D58" s="117"/>
      <c r="E58" s="117"/>
      <c r="F58" s="104" t="str">
        <f t="shared" si="8"/>
        <v>3.5</v>
      </c>
      <c r="G58" s="156"/>
      <c r="H58" s="427"/>
      <c r="I58" s="428"/>
      <c r="J58" s="428"/>
      <c r="K58" s="428"/>
      <c r="L58" s="428"/>
      <c r="M58" s="428"/>
      <c r="N58" s="429"/>
    </row>
    <row r="59" spans="1:14" collapsed="1" x14ac:dyDescent="0.25">
      <c r="A59" s="72"/>
      <c r="B59" s="72"/>
      <c r="C59" s="96"/>
      <c r="D59" s="96"/>
      <c r="E59" s="96"/>
      <c r="F59" s="105">
        <v>6</v>
      </c>
      <c r="G59" s="13" t="s">
        <v>17</v>
      </c>
      <c r="H59" s="3" t="s">
        <v>154</v>
      </c>
      <c r="I59" s="7"/>
      <c r="J59" s="162" t="str">
        <f>$J$5</f>
        <v>současný stav</v>
      </c>
      <c r="K59" s="130" t="str">
        <f>$K$5</f>
        <v>současný stav</v>
      </c>
      <c r="L59" s="162" t="str">
        <f>$L$5</f>
        <v>plánovaný stav</v>
      </c>
      <c r="M59" s="86" t="str">
        <f>$M$5</f>
        <v>plánovaný stav</v>
      </c>
      <c r="N59" s="157" t="str">
        <f>$N$5</f>
        <v>pokrok</v>
      </c>
    </row>
    <row r="60" spans="1:14" x14ac:dyDescent="0.25">
      <c r="A60" s="73"/>
      <c r="B60" s="73"/>
      <c r="C60" s="97"/>
      <c r="D60" s="97"/>
      <c r="E60" s="97"/>
      <c r="F60" s="108" t="str">
        <f>G60</f>
        <v>3.6</v>
      </c>
      <c r="G60" s="70" t="str">
        <f>$G$2&amp;F59</f>
        <v>3.6</v>
      </c>
      <c r="H60" s="4" t="s">
        <v>155</v>
      </c>
      <c r="I60" s="12"/>
      <c r="J60" s="163" t="str">
        <f>$J$6</f>
        <v>výběr úrovně</v>
      </c>
      <c r="K60" s="131" t="str">
        <f>$K$6</f>
        <v>bodové hodnocení</v>
      </c>
      <c r="L60" s="163" t="str">
        <f>$L$6</f>
        <v>výběr úrovně</v>
      </c>
      <c r="M60" s="88" t="str">
        <f>$M$6</f>
        <v>bodové hodnocení</v>
      </c>
      <c r="N60" s="158" t="str">
        <f>$N$6</f>
        <v>bodové hodnocení</v>
      </c>
    </row>
    <row r="61" spans="1:14" ht="15.75" thickBot="1" x14ac:dyDescent="0.3">
      <c r="A61" s="74"/>
      <c r="B61" s="74"/>
      <c r="C61" s="101"/>
      <c r="D61" s="101"/>
      <c r="E61" s="101"/>
      <c r="F61" s="104" t="str">
        <f t="shared" ref="F61:F67" si="10">F60</f>
        <v>3.6</v>
      </c>
      <c r="G61" s="14"/>
      <c r="H61" s="15"/>
      <c r="I61" s="8"/>
      <c r="J61" s="164"/>
      <c r="K61" s="132" t="str">
        <f>$K$7</f>
        <v>B</v>
      </c>
      <c r="L61" s="164"/>
      <c r="M61" s="89"/>
      <c r="N61" s="159" t="str">
        <f>$N$7</f>
        <v>C</v>
      </c>
    </row>
    <row r="62" spans="1:14" x14ac:dyDescent="0.25">
      <c r="A62" s="69">
        <f>IF(G62="a.",0,IF(G62="b.",1,IF(G62="c.",2,IF(G62="d.",3,IF(G62="e.",4,IF(G62="f.",5,IF(G62="g.",6,IF(G62="h.",7,IF(G62="i.",8,IF(G62="j.",9,""))))))))))</f>
        <v>0</v>
      </c>
      <c r="B62" s="103">
        <f>MAX(A62:A65)</f>
        <v>1</v>
      </c>
      <c r="C62" s="98">
        <f>SUM(K62:K65)</f>
        <v>0</v>
      </c>
      <c r="D62" s="98">
        <f>SUM(M62:M65)</f>
        <v>2</v>
      </c>
      <c r="E62" s="98">
        <f>D62-C62</f>
        <v>2</v>
      </c>
      <c r="F62" s="104" t="str">
        <f t="shared" si="10"/>
        <v>3.6</v>
      </c>
      <c r="G62" s="2" t="s">
        <v>6</v>
      </c>
      <c r="H62" s="1" t="s">
        <v>146</v>
      </c>
      <c r="I62" s="79">
        <f>IF(A62&lt;&gt;"",A62/B62*2,"")</f>
        <v>0</v>
      </c>
      <c r="J62" s="218" t="s">
        <v>298</v>
      </c>
      <c r="K62" s="133">
        <f>IF(J62="","",I62)</f>
        <v>0</v>
      </c>
      <c r="L62" s="218"/>
      <c r="M62" s="90" t="str">
        <f>IF(L62="","",I62)</f>
        <v/>
      </c>
      <c r="N62" s="160" t="str">
        <f>IF(AND(M62&lt;&gt;"",E62&gt;=0),E62,"")</f>
        <v/>
      </c>
    </row>
    <row r="63" spans="1:14" x14ac:dyDescent="0.25">
      <c r="A63" s="69">
        <f>IF(G63="a.",0,IF(G63="b.",1,IF(G63="c.",2,IF(G63="d.",3,IF(G63="e.",4,IF(G63="f.",5,IF(G63="g.",6,IF(G63="h.",7,IF(G63="i.",8,IF(G63="j.",9,""))))))))))</f>
        <v>1</v>
      </c>
      <c r="B63" s="99">
        <f t="shared" ref="B63" si="11">B62</f>
        <v>1</v>
      </c>
      <c r="C63" s="93"/>
      <c r="D63" s="93"/>
      <c r="E63" s="99">
        <f>E62</f>
        <v>2</v>
      </c>
      <c r="F63" s="104" t="str">
        <f t="shared" si="10"/>
        <v>3.6</v>
      </c>
      <c r="G63" s="2" t="s">
        <v>8</v>
      </c>
      <c r="H63" s="1" t="s">
        <v>283</v>
      </c>
      <c r="I63" s="79">
        <f>IF(A63&lt;&gt;"",A63/B63*2,"")</f>
        <v>2</v>
      </c>
      <c r="J63" s="219"/>
      <c r="K63" s="134" t="str">
        <f>IF(J63="","",I63)</f>
        <v/>
      </c>
      <c r="L63" s="219" t="s">
        <v>298</v>
      </c>
      <c r="M63" s="91">
        <f>IF(L63="","",I63)</f>
        <v>2</v>
      </c>
      <c r="N63" s="161">
        <f>IF(AND(M63&lt;&gt;"",E63&gt;=0),E63,"")</f>
        <v>2</v>
      </c>
    </row>
    <row r="64" spans="1:14" x14ac:dyDescent="0.25">
      <c r="A64" s="111"/>
      <c r="B64" s="111"/>
      <c r="C64" s="112"/>
      <c r="D64" s="112"/>
      <c r="E64" s="112"/>
      <c r="F64" s="104" t="str">
        <f t="shared" si="10"/>
        <v>3.6</v>
      </c>
      <c r="G64" s="135" t="str">
        <f>"odd. B "&amp;F64</f>
        <v>odd. B 3.6</v>
      </c>
      <c r="H64" s="136" t="s">
        <v>18</v>
      </c>
      <c r="I64" s="137"/>
      <c r="J64" s="137"/>
      <c r="K64" s="138"/>
      <c r="L64" s="137"/>
      <c r="M64" s="138"/>
      <c r="N64" s="139"/>
    </row>
    <row r="65" spans="1:14" x14ac:dyDescent="0.25">
      <c r="A65" s="119"/>
      <c r="B65" s="119"/>
      <c r="C65" s="119"/>
      <c r="D65" s="119"/>
      <c r="E65" s="119"/>
      <c r="F65" s="104" t="str">
        <f t="shared" si="10"/>
        <v>3.6</v>
      </c>
      <c r="G65" s="140"/>
      <c r="H65" s="424"/>
      <c r="I65" s="425"/>
      <c r="J65" s="425"/>
      <c r="K65" s="425"/>
      <c r="L65" s="425"/>
      <c r="M65" s="425"/>
      <c r="N65" s="426"/>
    </row>
    <row r="66" spans="1:14" x14ac:dyDescent="0.25">
      <c r="A66" s="16"/>
      <c r="B66" s="16"/>
      <c r="C66" s="100"/>
      <c r="D66" s="100"/>
      <c r="E66" s="100"/>
      <c r="F66" s="104" t="str">
        <f t="shared" si="10"/>
        <v>3.6</v>
      </c>
      <c r="G66" s="151" t="str">
        <f>"odd. C "&amp;F66</f>
        <v>odd. C 3.6</v>
      </c>
      <c r="H66" s="152" t="s">
        <v>19</v>
      </c>
      <c r="I66" s="153"/>
      <c r="J66" s="153"/>
      <c r="K66" s="154"/>
      <c r="L66" s="153"/>
      <c r="M66" s="154"/>
      <c r="N66" s="155"/>
    </row>
    <row r="67" spans="1:14" ht="15.75" thickBot="1" x14ac:dyDescent="0.3">
      <c r="A67" s="117"/>
      <c r="B67" s="117"/>
      <c r="C67" s="117"/>
      <c r="D67" s="117"/>
      <c r="E67" s="117"/>
      <c r="F67" s="104" t="str">
        <f t="shared" si="10"/>
        <v>3.6</v>
      </c>
      <c r="G67" s="156"/>
      <c r="H67" s="427"/>
      <c r="I67" s="428"/>
      <c r="J67" s="428"/>
      <c r="K67" s="428"/>
      <c r="L67" s="428"/>
      <c r="M67" s="428"/>
      <c r="N67" s="429"/>
    </row>
  </sheetData>
  <sheetProtection algorithmName="SHA-512" hashValue="HF0FBfBPy/rIH+RYQIRxlUQzNNkOCCRSMgABLmC4N4V7ykHoQOcIcCx3z2imkV/lkkbH5/tNIN7HvKzdhmrYsA==" saltValue="lTM/ZgUxADjwrRRRFZ0hUw==" spinCount="100000" sheet="1" objects="1" scenarios="1" formatCells="0"/>
  <mergeCells count="15">
    <mergeCell ref="G1:N1"/>
    <mergeCell ref="J2:N2"/>
    <mergeCell ref="J9:N9"/>
    <mergeCell ref="H17:N17"/>
    <mergeCell ref="H19:N19"/>
    <mergeCell ref="H27:N27"/>
    <mergeCell ref="H29:N29"/>
    <mergeCell ref="H36:N36"/>
    <mergeCell ref="H38:N38"/>
    <mergeCell ref="H47:N47"/>
    <mergeCell ref="H49:N49"/>
    <mergeCell ref="H56:N56"/>
    <mergeCell ref="H58:N58"/>
    <mergeCell ref="H65:N65"/>
    <mergeCell ref="H67:N67"/>
  </mergeCells>
  <conditionalFormatting sqref="I3">
    <cfRule type="expression" dxfId="130" priority="17">
      <formula>$J$8&lt;&gt;COUNTIF(I9:I111,2)</formula>
    </cfRule>
  </conditionalFormatting>
  <conditionalFormatting sqref="I4">
    <cfRule type="expression" dxfId="129" priority="18">
      <formula>$L$8&lt;&gt;COUNTIF(I9:I111,2)</formula>
    </cfRule>
  </conditionalFormatting>
  <conditionalFormatting sqref="G3">
    <cfRule type="expression" dxfId="128" priority="15">
      <formula>$J$8&lt;&gt;COUNTIF(I9:I111,2)</formula>
    </cfRule>
  </conditionalFormatting>
  <conditionalFormatting sqref="J3">
    <cfRule type="expression" dxfId="127" priority="14">
      <formula>$J$8&lt;&gt;COUNTIF(I9:I111,2)</formula>
    </cfRule>
  </conditionalFormatting>
  <conditionalFormatting sqref="K3">
    <cfRule type="expression" dxfId="126" priority="13">
      <formula>$J$8&lt;&gt;COUNTIF(I9:I111,2)</formula>
    </cfRule>
  </conditionalFormatting>
  <conditionalFormatting sqref="L3">
    <cfRule type="expression" dxfId="125" priority="12">
      <formula>$J$8&lt;&gt;COUNTIF(I9:I111,2)</formula>
    </cfRule>
  </conditionalFormatting>
  <conditionalFormatting sqref="M3">
    <cfRule type="expression" dxfId="124" priority="11">
      <formula>$J$8&lt;&gt;COUNTIF(I9:I111,2)</formula>
    </cfRule>
  </conditionalFormatting>
  <conditionalFormatting sqref="N3">
    <cfRule type="expression" dxfId="123" priority="10">
      <formula>$J$8&lt;&gt;COUNTIF(I9:I111,2)</formula>
    </cfRule>
  </conditionalFormatting>
  <conditionalFormatting sqref="G4">
    <cfRule type="expression" dxfId="122" priority="8">
      <formula>$L$8&lt;&gt;COUNTIF(I9:I111,2)</formula>
    </cfRule>
  </conditionalFormatting>
  <conditionalFormatting sqref="J4">
    <cfRule type="expression" dxfId="121" priority="7">
      <formula>$L$8&lt;&gt;COUNTIF(I9:I111,2)</formula>
    </cfRule>
  </conditionalFormatting>
  <conditionalFormatting sqref="K4">
    <cfRule type="expression" dxfId="120" priority="6">
      <formula>$L$8&lt;&gt;COUNTIF(I9:I111,2)</formula>
    </cfRule>
  </conditionalFormatting>
  <conditionalFormatting sqref="L4">
    <cfRule type="expression" dxfId="119" priority="5">
      <formula>$L$8&lt;&gt;COUNTIF(I9:I111,2)</formula>
    </cfRule>
  </conditionalFormatting>
  <conditionalFormatting sqref="M4">
    <cfRule type="expression" dxfId="118" priority="4">
      <formula>$L$8&lt;&gt;COUNTIF(I9:I111,2)</formula>
    </cfRule>
  </conditionalFormatting>
  <conditionalFormatting sqref="N4">
    <cfRule type="expression" dxfId="117" priority="3">
      <formula>$L$8&lt;&gt;COUNTIF(I9:I111,2)</formula>
    </cfRule>
  </conditionalFormatting>
  <conditionalFormatting sqref="H3">
    <cfRule type="expression" dxfId="116" priority="2">
      <formula>$J$8&lt;&gt;COUNTIF(I9:I111,2)</formula>
    </cfRule>
  </conditionalFormatting>
  <conditionalFormatting sqref="H4">
    <cfRule type="expression" dxfId="115" priority="1">
      <formula>$L$8&lt;&gt;COUNTIF(I9:I111,2)</formula>
    </cfRule>
  </conditionalFormatting>
  <pageMargins left="0.70866141732283472" right="0.70866141732283472" top="0.56999999999999995" bottom="0.41" header="0.31496062992125984" footer="0.17"/>
  <pageSetup paperSize="9" scale="56" fitToHeight="0" orientation="landscape" r:id="rId1"/>
  <rowBreaks count="1" manualBreakCount="1">
    <brk id="4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showGridLines="0" topLeftCell="G1" zoomScale="85" zoomScaleNormal="85" workbookViewId="0">
      <pane xSplit="1" ySplit="9" topLeftCell="H10" activePane="bottomRight" state="frozen"/>
      <selection activeCell="G1" sqref="G1"/>
      <selection pane="topRight" activeCell="H1" sqref="H1"/>
      <selection pane="bottomLeft" activeCell="G10" sqref="G10"/>
      <selection pane="bottomRight" activeCell="H10" sqref="H10"/>
    </sheetView>
  </sheetViews>
  <sheetFormatPr defaultColWidth="9.140625" defaultRowHeight="15" outlineLevelRow="1" outlineLevelCol="1" x14ac:dyDescent="0.25"/>
  <cols>
    <col min="1" max="1" width="1.85546875" style="5" hidden="1" customWidth="1" outlineLevel="1"/>
    <col min="2" max="4" width="4" style="5" hidden="1" customWidth="1" outlineLevel="1"/>
    <col min="5" max="5" width="4.5703125" style="5" hidden="1" customWidth="1" outlineLevel="1"/>
    <col min="6" max="6" width="3.5703125" style="80" hidden="1" customWidth="1" outlineLevel="1"/>
    <col min="7" max="7" width="8.7109375" style="5" customWidth="1" collapsed="1"/>
    <col min="8" max="8" width="130.7109375" style="5" customWidth="1"/>
    <col min="9" max="10" width="15.7109375" style="5" customWidth="1"/>
    <col min="11" max="11" width="15.7109375" style="239" customWidth="1"/>
    <col min="12" max="12" width="15.7109375" style="5" customWidth="1"/>
    <col min="13" max="13" width="15.7109375" style="239" customWidth="1"/>
    <col min="14" max="14" width="15.7109375" style="5" customWidth="1"/>
    <col min="15" max="16384" width="9.140625" style="5"/>
  </cols>
  <sheetData>
    <row r="1" spans="1:14" ht="15.75" thickBot="1" x14ac:dyDescent="0.3">
      <c r="A1" s="118"/>
      <c r="B1" s="118"/>
      <c r="C1" s="118"/>
      <c r="D1" s="118"/>
      <c r="E1" s="118"/>
      <c r="F1" s="118"/>
      <c r="G1" s="430" t="s">
        <v>3</v>
      </c>
      <c r="H1" s="431"/>
      <c r="I1" s="431"/>
      <c r="J1" s="431"/>
      <c r="K1" s="431"/>
      <c r="L1" s="431"/>
      <c r="M1" s="431"/>
      <c r="N1" s="432"/>
    </row>
    <row r="2" spans="1:14" ht="32.25" thickBot="1" x14ac:dyDescent="0.3">
      <c r="A2" s="6"/>
      <c r="B2" s="6"/>
      <c r="C2" s="6"/>
      <c r="D2" s="6"/>
      <c r="E2" s="6"/>
      <c r="F2" s="6"/>
      <c r="G2" s="122" t="s">
        <v>99</v>
      </c>
      <c r="H2" s="186" t="s">
        <v>0</v>
      </c>
      <c r="I2" s="220">
        <f>I3+I4</f>
        <v>1</v>
      </c>
      <c r="J2" s="433" t="str">
        <f>"/    "&amp;I8&amp;" bodů"</f>
        <v>/    6 bodů</v>
      </c>
      <c r="K2" s="433"/>
      <c r="L2" s="433"/>
      <c r="M2" s="433"/>
      <c r="N2" s="434"/>
    </row>
    <row r="3" spans="1:14" ht="21" x14ac:dyDescent="0.25">
      <c r="A3" s="109"/>
      <c r="B3" s="109"/>
      <c r="C3" s="109"/>
      <c r="D3" s="109"/>
      <c r="E3" s="109"/>
      <c r="F3" s="109"/>
      <c r="G3" s="177" t="str">
        <f>"B "&amp;$G$2</f>
        <v>B 4.</v>
      </c>
      <c r="H3" s="178" t="str">
        <f>IF($J$8&lt;&gt;COUNTIF(I9:I111,2),"Počet odpovědí neodpovídá počtu otázek, prosím zkontrolujte!",$H$2)</f>
        <v>Aditivní výroba a 3D tisk</v>
      </c>
      <c r="I3" s="129">
        <f>K8</f>
        <v>0</v>
      </c>
      <c r="J3" s="207" t="str">
        <f>$J$2</f>
        <v>/    6 bodů</v>
      </c>
      <c r="K3" s="207"/>
      <c r="L3" s="207"/>
      <c r="M3" s="207"/>
      <c r="N3" s="208"/>
    </row>
    <row r="4" spans="1:14" ht="21.75" thickBot="1" x14ac:dyDescent="0.3">
      <c r="A4" s="113"/>
      <c r="B4" s="113"/>
      <c r="C4" s="113"/>
      <c r="D4" s="113"/>
      <c r="E4" s="113"/>
      <c r="F4" s="113"/>
      <c r="G4" s="175" t="str">
        <f>"C "&amp;$G$2</f>
        <v>C 4.</v>
      </c>
      <c r="H4" s="176" t="str">
        <f>IF($L$8&lt;&gt;COUNTIF(I9:I111,2),"Počet odpovědí neodpovídá počtu otázek, prosím zkontrolujte!",$H$2)</f>
        <v>Aditivní výroba a 3D tisk</v>
      </c>
      <c r="I4" s="141">
        <f>N8</f>
        <v>1</v>
      </c>
      <c r="J4" s="142" t="str">
        <f>$J$2</f>
        <v>/    6 bodů</v>
      </c>
      <c r="K4" s="142"/>
      <c r="L4" s="144"/>
      <c r="M4" s="144"/>
      <c r="N4" s="146"/>
    </row>
    <row r="5" spans="1:14" hidden="1" outlineLevel="1" x14ac:dyDescent="0.25">
      <c r="A5" s="71"/>
      <c r="B5" s="71"/>
      <c r="C5" s="71"/>
      <c r="D5" s="71"/>
      <c r="E5" s="71"/>
      <c r="F5" s="71"/>
      <c r="G5" s="19"/>
      <c r="H5" s="23"/>
      <c r="I5" s="24"/>
      <c r="J5" s="17" t="str">
        <f>'01'!J5</f>
        <v>současný stav</v>
      </c>
      <c r="K5" s="229" t="str">
        <f>'01'!K5</f>
        <v>současný stav</v>
      </c>
      <c r="L5" s="17" t="str">
        <f>'01'!L5</f>
        <v>plánovaný stav</v>
      </c>
      <c r="M5" s="229" t="str">
        <f>'01'!M5</f>
        <v>plánovaný stav</v>
      </c>
      <c r="N5" s="17" t="str">
        <f>'01'!N5</f>
        <v>pokrok</v>
      </c>
    </row>
    <row r="6" spans="1:14" hidden="1" outlineLevel="1" x14ac:dyDescent="0.25">
      <c r="A6" s="11"/>
      <c r="B6" s="11"/>
      <c r="C6" s="11"/>
      <c r="D6" s="11"/>
      <c r="E6" s="11"/>
      <c r="F6" s="11"/>
      <c r="G6" s="20"/>
      <c r="H6" s="25"/>
      <c r="I6" s="26"/>
      <c r="J6" s="18" t="str">
        <f>'01'!J6</f>
        <v>výběr úrovně</v>
      </c>
      <c r="K6" s="230" t="str">
        <f>'01'!K6</f>
        <v>bodové hodnocení</v>
      </c>
      <c r="L6" s="18" t="str">
        <f>'01'!L6</f>
        <v>výběr úrovně</v>
      </c>
      <c r="M6" s="230" t="str">
        <f>'01'!M6</f>
        <v>bodové hodnocení</v>
      </c>
      <c r="N6" s="18" t="str">
        <f>'01'!N6</f>
        <v>bodové hodnocení</v>
      </c>
    </row>
    <row r="7" spans="1:14" hidden="1" outlineLevel="1" x14ac:dyDescent="0.25">
      <c r="A7" s="11"/>
      <c r="B7" s="11"/>
      <c r="C7" s="11"/>
      <c r="D7" s="11"/>
      <c r="E7" s="11"/>
      <c r="F7" s="11"/>
      <c r="G7" s="20"/>
      <c r="H7" s="25"/>
      <c r="I7" s="26"/>
      <c r="J7" s="18"/>
      <c r="K7" s="230" t="str">
        <f>'01'!K7</f>
        <v>B</v>
      </c>
      <c r="L7" s="18"/>
      <c r="M7" s="230"/>
      <c r="N7" s="18" t="str">
        <f>'01'!N7</f>
        <v>C</v>
      </c>
    </row>
    <row r="8" spans="1:14" ht="15.75" hidden="1" outlineLevel="1" thickBot="1" x14ac:dyDescent="0.3">
      <c r="A8" s="27"/>
      <c r="B8" s="27"/>
      <c r="C8" s="27"/>
      <c r="D8" s="27"/>
      <c r="E8" s="27"/>
      <c r="F8" s="27"/>
      <c r="G8" s="21"/>
      <c r="H8" s="27"/>
      <c r="I8" s="38">
        <f>COUNTIF(I9:I39,2)*2</f>
        <v>6</v>
      </c>
      <c r="J8" s="22">
        <f>COUNTIF(J9:J39,"x")</f>
        <v>3</v>
      </c>
      <c r="K8" s="231">
        <f>SUBTOTAL(9,K9:K39)</f>
        <v>0</v>
      </c>
      <c r="L8" s="22">
        <f>COUNTIF(L9:L39,"x")</f>
        <v>3</v>
      </c>
      <c r="M8" s="231">
        <f>SUBTOTAL(9,M9:M39)</f>
        <v>1</v>
      </c>
      <c r="N8" s="85">
        <f>SUBTOTAL(9,N9:N39)</f>
        <v>1</v>
      </c>
    </row>
    <row r="9" spans="1:14" s="29" customFormat="1" ht="12.75" collapsed="1" thickBot="1" x14ac:dyDescent="0.3">
      <c r="A9" s="28"/>
      <c r="B9" s="28"/>
      <c r="C9" s="28"/>
      <c r="D9" s="28"/>
      <c r="E9" s="28"/>
      <c r="F9" s="30"/>
      <c r="G9" s="125"/>
      <c r="H9" s="189"/>
      <c r="I9" s="127"/>
      <c r="J9" s="435"/>
      <c r="K9" s="435"/>
      <c r="L9" s="435"/>
      <c r="M9" s="435"/>
      <c r="N9" s="436"/>
    </row>
    <row r="10" spans="1:14" x14ac:dyDescent="0.25">
      <c r="A10" s="72"/>
      <c r="B10" s="72"/>
      <c r="C10" s="72"/>
      <c r="D10" s="72"/>
      <c r="E10" s="72"/>
      <c r="F10" s="105">
        <v>1</v>
      </c>
      <c r="G10" s="13" t="s">
        <v>17</v>
      </c>
      <c r="H10" s="3" t="s">
        <v>4</v>
      </c>
      <c r="I10" s="7"/>
      <c r="J10" s="162" t="str">
        <f>$J$5</f>
        <v>současný stav</v>
      </c>
      <c r="K10" s="232" t="str">
        <f>$K$5</f>
        <v>současný stav</v>
      </c>
      <c r="L10" s="162" t="str">
        <f>$L$5</f>
        <v>plánovaný stav</v>
      </c>
      <c r="M10" s="240" t="str">
        <f>$M$5</f>
        <v>plánovaný stav</v>
      </c>
      <c r="N10" s="180" t="str">
        <f>$N$5</f>
        <v>pokrok</v>
      </c>
    </row>
    <row r="11" spans="1:14" x14ac:dyDescent="0.25">
      <c r="A11" s="73"/>
      <c r="B11" s="73"/>
      <c r="C11" s="73"/>
      <c r="D11" s="73"/>
      <c r="E11" s="73"/>
      <c r="F11" s="108" t="str">
        <f>G11</f>
        <v>4.1</v>
      </c>
      <c r="G11" s="70" t="str">
        <f>$G$2&amp;F10</f>
        <v>4.1</v>
      </c>
      <c r="H11" s="4" t="s">
        <v>5</v>
      </c>
      <c r="I11" s="12"/>
      <c r="J11" s="163" t="str">
        <f>$J$6</f>
        <v>výběr úrovně</v>
      </c>
      <c r="K11" s="233" t="str">
        <f>$K$6</f>
        <v>bodové hodnocení</v>
      </c>
      <c r="L11" s="163" t="str">
        <f>$L$6</f>
        <v>výběr úrovně</v>
      </c>
      <c r="M11" s="241" t="str">
        <f>$M$6</f>
        <v>bodové hodnocení</v>
      </c>
      <c r="N11" s="181" t="str">
        <f>$N$6</f>
        <v>bodové hodnocení</v>
      </c>
    </row>
    <row r="12" spans="1:14" ht="15.75" thickBot="1" x14ac:dyDescent="0.3">
      <c r="A12" s="74"/>
      <c r="B12" s="74"/>
      <c r="C12" s="74"/>
      <c r="D12" s="74"/>
      <c r="E12" s="74"/>
      <c r="F12" s="104" t="str">
        <f>F11</f>
        <v>4.1</v>
      </c>
      <c r="G12" s="14"/>
      <c r="H12" s="15"/>
      <c r="I12" s="8"/>
      <c r="J12" s="164"/>
      <c r="K12" s="234" t="str">
        <f>$K$7</f>
        <v>B</v>
      </c>
      <c r="L12" s="164"/>
      <c r="M12" s="242"/>
      <c r="N12" s="182" t="str">
        <f>$N$7</f>
        <v>C</v>
      </c>
    </row>
    <row r="13" spans="1:14" x14ac:dyDescent="0.25">
      <c r="A13" s="69">
        <f>IF(G13="a.",0,IF(G13="b.",1,IF(G13="c.",2,IF(G13="d.",3,IF(G13="e.",4,IF(G13="f.",5,IF(G13="g.",6,IF(G13="h.",7,IF(G13="i.",8,IF(G13="j.",9,""))))))))))</f>
        <v>0</v>
      </c>
      <c r="B13" s="103">
        <f>MAX(A13:A16)</f>
        <v>2</v>
      </c>
      <c r="C13" s="98">
        <f>SUM(K13:K16)</f>
        <v>0</v>
      </c>
      <c r="D13" s="98">
        <f>SUM(M13:M16)</f>
        <v>1</v>
      </c>
      <c r="E13" s="98">
        <f>D13-C13</f>
        <v>1</v>
      </c>
      <c r="F13" s="104" t="str">
        <f t="shared" ref="F13:F19" si="0">F12</f>
        <v>4.1</v>
      </c>
      <c r="G13" s="9" t="s">
        <v>6</v>
      </c>
      <c r="H13" s="10" t="s">
        <v>7</v>
      </c>
      <c r="I13" s="79">
        <f>IF(A13&lt;&gt;"",A13/B13*2,"")</f>
        <v>0</v>
      </c>
      <c r="J13" s="218" t="s">
        <v>298</v>
      </c>
      <c r="K13" s="235">
        <f>IF(J13="","",I13)</f>
        <v>0</v>
      </c>
      <c r="L13" s="218"/>
      <c r="M13" s="243" t="str">
        <f>IF(L13="","",I13)</f>
        <v/>
      </c>
      <c r="N13" s="183" t="str">
        <f>IF(AND(M13&lt;&gt;"",E13&gt;=0),E13,"")</f>
        <v/>
      </c>
    </row>
    <row r="14" spans="1:14" x14ac:dyDescent="0.25">
      <c r="A14" s="69">
        <f>IF(G14="a.",0,IF(G14="b.",1,IF(G14="c.",2,IF(G14="d.",3,IF(G14="e.",4,IF(G14="f.",5,IF(G14="g.",6,IF(G14="h.",7,IF(G14="i.",8,IF(G14="j.",9,""))))))))))</f>
        <v>1</v>
      </c>
      <c r="B14" s="99">
        <f t="shared" ref="B14:B15" si="1">B13</f>
        <v>2</v>
      </c>
      <c r="C14" s="93"/>
      <c r="D14" s="93"/>
      <c r="E14" s="99">
        <f>E13</f>
        <v>1</v>
      </c>
      <c r="F14" s="104" t="str">
        <f t="shared" si="0"/>
        <v>4.1</v>
      </c>
      <c r="G14" s="2" t="s">
        <v>8</v>
      </c>
      <c r="H14" s="1" t="s">
        <v>9</v>
      </c>
      <c r="I14" s="79">
        <f>IF(A14&lt;&gt;"",A14/B14*2,"")</f>
        <v>1</v>
      </c>
      <c r="J14" s="219"/>
      <c r="K14" s="236" t="str">
        <f>IF(J14="","",I14)</f>
        <v/>
      </c>
      <c r="L14" s="219" t="s">
        <v>298</v>
      </c>
      <c r="M14" s="244">
        <f>IF(L14="","",I14)</f>
        <v>1</v>
      </c>
      <c r="N14" s="184">
        <f>IF(AND(M14&lt;&gt;"",E14&gt;=0),E14,"")</f>
        <v>1</v>
      </c>
    </row>
    <row r="15" spans="1:14" x14ac:dyDescent="0.25">
      <c r="A15" s="69">
        <f>IF(G15="a.",0,IF(G15="b.",1,IF(G15="c.",2,IF(G15="d.",3,IF(G15="e.",4,IF(G15="f.",5,IF(G15="g.",6,IF(G15="h.",7,IF(G15="i.",8,IF(G15="j.",9,""))))))))))</f>
        <v>2</v>
      </c>
      <c r="B15" s="99">
        <f t="shared" si="1"/>
        <v>2</v>
      </c>
      <c r="C15" s="93"/>
      <c r="D15" s="93"/>
      <c r="E15" s="99">
        <f>E14</f>
        <v>1</v>
      </c>
      <c r="F15" s="104" t="str">
        <f t="shared" si="0"/>
        <v>4.1</v>
      </c>
      <c r="G15" s="2" t="s">
        <v>10</v>
      </c>
      <c r="H15" s="1" t="s">
        <v>11</v>
      </c>
      <c r="I15" s="79">
        <f>IF(A15&lt;&gt;"",A15/B15*2,"")</f>
        <v>2</v>
      </c>
      <c r="J15" s="219"/>
      <c r="K15" s="236" t="str">
        <f>IF(J15="","",I15)</f>
        <v/>
      </c>
      <c r="L15" s="219"/>
      <c r="M15" s="244" t="str">
        <f>IF(L15="","",I15)</f>
        <v/>
      </c>
      <c r="N15" s="184" t="str">
        <f>IF(AND(M15&lt;&gt;"",E15&gt;=0),E15,"")</f>
        <v/>
      </c>
    </row>
    <row r="16" spans="1:14" x14ac:dyDescent="0.25">
      <c r="A16" s="111"/>
      <c r="B16" s="111"/>
      <c r="C16" s="111"/>
      <c r="D16" s="111"/>
      <c r="E16" s="111"/>
      <c r="F16" s="104" t="str">
        <f t="shared" si="0"/>
        <v>4.1</v>
      </c>
      <c r="G16" s="135" t="str">
        <f>"odd. B "&amp;F16</f>
        <v>odd. B 4.1</v>
      </c>
      <c r="H16" s="136" t="s">
        <v>18</v>
      </c>
      <c r="I16" s="137"/>
      <c r="J16" s="137"/>
      <c r="K16" s="237"/>
      <c r="L16" s="137"/>
      <c r="M16" s="237"/>
      <c r="N16" s="179"/>
    </row>
    <row r="17" spans="1:14" x14ac:dyDescent="0.25">
      <c r="A17" s="119"/>
      <c r="B17" s="119"/>
      <c r="C17" s="119"/>
      <c r="D17" s="119"/>
      <c r="E17" s="119"/>
      <c r="F17" s="104" t="str">
        <f t="shared" si="0"/>
        <v>4.1</v>
      </c>
      <c r="G17" s="140"/>
      <c r="H17" s="424"/>
      <c r="I17" s="425"/>
      <c r="J17" s="425"/>
      <c r="K17" s="425"/>
      <c r="L17" s="425"/>
      <c r="M17" s="425"/>
      <c r="N17" s="426"/>
    </row>
    <row r="18" spans="1:14" x14ac:dyDescent="0.25">
      <c r="A18" s="16"/>
      <c r="B18" s="16"/>
      <c r="C18" s="16"/>
      <c r="D18" s="16"/>
      <c r="E18" s="16"/>
      <c r="F18" s="104" t="str">
        <f t="shared" si="0"/>
        <v>4.1</v>
      </c>
      <c r="G18" s="151" t="str">
        <f>"odd. C "&amp;F18</f>
        <v>odd. C 4.1</v>
      </c>
      <c r="H18" s="152" t="s">
        <v>19</v>
      </c>
      <c r="I18" s="153"/>
      <c r="J18" s="153"/>
      <c r="K18" s="238"/>
      <c r="L18" s="153"/>
      <c r="M18" s="238"/>
      <c r="N18" s="185"/>
    </row>
    <row r="19" spans="1:14" ht="15.75" thickBot="1" x14ac:dyDescent="0.3">
      <c r="A19" s="117"/>
      <c r="B19" s="117"/>
      <c r="C19" s="117"/>
      <c r="D19" s="117"/>
      <c r="E19" s="117"/>
      <c r="F19" s="104" t="str">
        <f t="shared" si="0"/>
        <v>4.1</v>
      </c>
      <c r="G19" s="156"/>
      <c r="H19" s="427"/>
      <c r="I19" s="428"/>
      <c r="J19" s="428"/>
      <c r="K19" s="428"/>
      <c r="L19" s="428"/>
      <c r="M19" s="428"/>
      <c r="N19" s="429"/>
    </row>
    <row r="20" spans="1:14" collapsed="1" x14ac:dyDescent="0.25">
      <c r="A20" s="72"/>
      <c r="B20" s="72"/>
      <c r="C20" s="72"/>
      <c r="D20" s="72"/>
      <c r="E20" s="72"/>
      <c r="F20" s="105">
        <v>2</v>
      </c>
      <c r="G20" s="13" t="s">
        <v>17</v>
      </c>
      <c r="H20" s="3" t="s">
        <v>20</v>
      </c>
      <c r="I20" s="7"/>
      <c r="J20" s="162" t="str">
        <f>$J$5</f>
        <v>současný stav</v>
      </c>
      <c r="K20" s="232" t="str">
        <f>$K$5</f>
        <v>současný stav</v>
      </c>
      <c r="L20" s="162" t="str">
        <f>$L$5</f>
        <v>plánovaný stav</v>
      </c>
      <c r="M20" s="240" t="str">
        <f>$M$5</f>
        <v>plánovaný stav</v>
      </c>
      <c r="N20" s="180" t="str">
        <f>$N$5</f>
        <v>pokrok</v>
      </c>
    </row>
    <row r="21" spans="1:14" x14ac:dyDescent="0.25">
      <c r="A21" s="73"/>
      <c r="B21" s="73"/>
      <c r="C21" s="73"/>
      <c r="D21" s="73"/>
      <c r="E21" s="73"/>
      <c r="F21" s="108" t="str">
        <f>G21</f>
        <v>4.2</v>
      </c>
      <c r="G21" s="70" t="str">
        <f>$G$2&amp;F20</f>
        <v>4.2</v>
      </c>
      <c r="H21" s="4" t="s">
        <v>12</v>
      </c>
      <c r="I21" s="12"/>
      <c r="J21" s="163" t="str">
        <f>$J$6</f>
        <v>výběr úrovně</v>
      </c>
      <c r="K21" s="233" t="str">
        <f>$K$6</f>
        <v>bodové hodnocení</v>
      </c>
      <c r="L21" s="163" t="str">
        <f>$L$6</f>
        <v>výběr úrovně</v>
      </c>
      <c r="M21" s="241" t="str">
        <f>$M$6</f>
        <v>bodové hodnocení</v>
      </c>
      <c r="N21" s="181" t="str">
        <f>$N$6</f>
        <v>bodové hodnocení</v>
      </c>
    </row>
    <row r="22" spans="1:14" ht="15.75" thickBot="1" x14ac:dyDescent="0.3">
      <c r="A22" s="74"/>
      <c r="B22" s="74"/>
      <c r="C22" s="74"/>
      <c r="D22" s="74"/>
      <c r="E22" s="74"/>
      <c r="F22" s="104" t="str">
        <f t="shared" ref="F22:F29" si="2">F21</f>
        <v>4.2</v>
      </c>
      <c r="G22" s="14"/>
      <c r="H22" s="15"/>
      <c r="I22" s="8"/>
      <c r="J22" s="164"/>
      <c r="K22" s="234" t="str">
        <f>$K$7</f>
        <v>B</v>
      </c>
      <c r="L22" s="164"/>
      <c r="M22" s="242"/>
      <c r="N22" s="182" t="str">
        <f>$N$7</f>
        <v>C</v>
      </c>
    </row>
    <row r="23" spans="1:14" x14ac:dyDescent="0.25">
      <c r="A23" s="69">
        <f>IF(G23="a.",0,IF(G23="b.",1,IF(G23="c.",2,IF(G23="d.",3,IF(G23="e.",4,IF(G23="f.",5,IF(G23="g.",6,IF(G23="h.",7,IF(G23="i.",8,IF(G23="j.",9,""))))))))))</f>
        <v>0</v>
      </c>
      <c r="B23" s="103">
        <f>MAX(A23:A26)</f>
        <v>2</v>
      </c>
      <c r="C23" s="98">
        <f>SUM(K23:K26)</f>
        <v>0</v>
      </c>
      <c r="D23" s="98">
        <f>SUM(M23:M26)</f>
        <v>0</v>
      </c>
      <c r="E23" s="98">
        <f>D23-C23</f>
        <v>0</v>
      </c>
      <c r="F23" s="104" t="str">
        <f t="shared" si="2"/>
        <v>4.2</v>
      </c>
      <c r="G23" s="9" t="s">
        <v>6</v>
      </c>
      <c r="H23" s="10" t="s">
        <v>7</v>
      </c>
      <c r="I23" s="79">
        <f>IF(A23&lt;&gt;"",A23/B23*2,"")</f>
        <v>0</v>
      </c>
      <c r="J23" s="218" t="s">
        <v>298</v>
      </c>
      <c r="K23" s="235">
        <f>IF(J23="","",I23)</f>
        <v>0</v>
      </c>
      <c r="L23" s="218" t="s">
        <v>298</v>
      </c>
      <c r="M23" s="243">
        <f>IF(L23="","",I23)</f>
        <v>0</v>
      </c>
      <c r="N23" s="183">
        <f>IF(AND(M23&lt;&gt;"",E23&gt;=0),E23,"")</f>
        <v>0</v>
      </c>
    </row>
    <row r="24" spans="1:14" x14ac:dyDescent="0.25">
      <c r="A24" s="69">
        <f>IF(G24="a.",0,IF(G24="b.",1,IF(G24="c.",2,IF(G24="d.",3,IF(G24="e.",4,IF(G24="f.",5,IF(G24="g.",6,IF(G24="h.",7,IF(G24="i.",8,IF(G24="j.",9,""))))))))))</f>
        <v>1</v>
      </c>
      <c r="B24" s="99">
        <f t="shared" ref="B24:B25" si="3">B23</f>
        <v>2</v>
      </c>
      <c r="C24" s="93"/>
      <c r="D24" s="93"/>
      <c r="E24" s="99">
        <f>E23</f>
        <v>0</v>
      </c>
      <c r="F24" s="104" t="str">
        <f t="shared" si="2"/>
        <v>4.2</v>
      </c>
      <c r="G24" s="2" t="s">
        <v>8</v>
      </c>
      <c r="H24" s="1" t="s">
        <v>13</v>
      </c>
      <c r="I24" s="79">
        <f>IF(A24&lt;&gt;"",A24/B24*2,"")</f>
        <v>1</v>
      </c>
      <c r="J24" s="219"/>
      <c r="K24" s="236" t="str">
        <f>IF(J24="","",I24)</f>
        <v/>
      </c>
      <c r="L24" s="219"/>
      <c r="M24" s="244" t="str">
        <f>IF(L24="","",I24)</f>
        <v/>
      </c>
      <c r="N24" s="184" t="str">
        <f>IF(AND(M24&lt;&gt;"",E24&gt;=0),E24,"")</f>
        <v/>
      </c>
    </row>
    <row r="25" spans="1:14" x14ac:dyDescent="0.25">
      <c r="A25" s="69">
        <f>IF(G25="a.",0,IF(G25="b.",1,IF(G25="c.",2,IF(G25="d.",3,IF(G25="e.",4,IF(G25="f.",5,IF(G25="g.",6,IF(G25="h.",7,IF(G25="i.",8,IF(G25="j.",9,""))))))))))</f>
        <v>2</v>
      </c>
      <c r="B25" s="99">
        <f t="shared" si="3"/>
        <v>2</v>
      </c>
      <c r="C25" s="93"/>
      <c r="D25" s="93"/>
      <c r="E25" s="99">
        <f>E24</f>
        <v>0</v>
      </c>
      <c r="F25" s="104" t="str">
        <f t="shared" si="2"/>
        <v>4.2</v>
      </c>
      <c r="G25" s="2" t="s">
        <v>10</v>
      </c>
      <c r="H25" s="1" t="s">
        <v>14</v>
      </c>
      <c r="I25" s="79">
        <f>IF(A25&lt;&gt;"",A25/B25*2,"")</f>
        <v>2</v>
      </c>
      <c r="J25" s="219"/>
      <c r="K25" s="236" t="str">
        <f>IF(J25="","",I25)</f>
        <v/>
      </c>
      <c r="L25" s="219"/>
      <c r="M25" s="244" t="str">
        <f>IF(L25="","",I25)</f>
        <v/>
      </c>
      <c r="N25" s="184" t="str">
        <f>IF(AND(M25&lt;&gt;"",E25&gt;=0),E25,"")</f>
        <v/>
      </c>
    </row>
    <row r="26" spans="1:14" x14ac:dyDescent="0.25">
      <c r="A26" s="111"/>
      <c r="B26" s="111"/>
      <c r="C26" s="111"/>
      <c r="D26" s="111"/>
      <c r="E26" s="111"/>
      <c r="F26" s="104" t="str">
        <f t="shared" si="2"/>
        <v>4.2</v>
      </c>
      <c r="G26" s="135" t="str">
        <f>"odd. B "&amp;F26</f>
        <v>odd. B 4.2</v>
      </c>
      <c r="H26" s="136" t="s">
        <v>18</v>
      </c>
      <c r="I26" s="137"/>
      <c r="J26" s="137"/>
      <c r="K26" s="237"/>
      <c r="L26" s="137"/>
      <c r="M26" s="237"/>
      <c r="N26" s="179"/>
    </row>
    <row r="27" spans="1:14" x14ac:dyDescent="0.25">
      <c r="A27" s="119"/>
      <c r="B27" s="119"/>
      <c r="C27" s="119"/>
      <c r="D27" s="119"/>
      <c r="E27" s="119"/>
      <c r="F27" s="104" t="str">
        <f t="shared" si="2"/>
        <v>4.2</v>
      </c>
      <c r="G27" s="140"/>
      <c r="H27" s="424"/>
      <c r="I27" s="425"/>
      <c r="J27" s="425"/>
      <c r="K27" s="425"/>
      <c r="L27" s="425"/>
      <c r="M27" s="425"/>
      <c r="N27" s="426"/>
    </row>
    <row r="28" spans="1:14" x14ac:dyDescent="0.25">
      <c r="A28" s="16"/>
      <c r="B28" s="16"/>
      <c r="C28" s="16"/>
      <c r="D28" s="16"/>
      <c r="E28" s="16"/>
      <c r="F28" s="104" t="str">
        <f t="shared" si="2"/>
        <v>4.2</v>
      </c>
      <c r="G28" s="151" t="str">
        <f>"odd. C "&amp;F28</f>
        <v>odd. C 4.2</v>
      </c>
      <c r="H28" s="152" t="s">
        <v>19</v>
      </c>
      <c r="I28" s="153"/>
      <c r="J28" s="153"/>
      <c r="K28" s="238"/>
      <c r="L28" s="153"/>
      <c r="M28" s="238"/>
      <c r="N28" s="185"/>
    </row>
    <row r="29" spans="1:14" ht="15.75" thickBot="1" x14ac:dyDescent="0.3">
      <c r="A29" s="117"/>
      <c r="B29" s="117"/>
      <c r="C29" s="117"/>
      <c r="D29" s="117"/>
      <c r="E29" s="117"/>
      <c r="F29" s="104" t="str">
        <f t="shared" si="2"/>
        <v>4.2</v>
      </c>
      <c r="G29" s="156"/>
      <c r="H29" s="427"/>
      <c r="I29" s="428"/>
      <c r="J29" s="428"/>
      <c r="K29" s="428"/>
      <c r="L29" s="428"/>
      <c r="M29" s="428"/>
      <c r="N29" s="429"/>
    </row>
    <row r="30" spans="1:14" collapsed="1" x14ac:dyDescent="0.25">
      <c r="A30" s="72"/>
      <c r="B30" s="72"/>
      <c r="C30" s="72"/>
      <c r="D30" s="72"/>
      <c r="E30" s="72"/>
      <c r="F30" s="105">
        <v>3</v>
      </c>
      <c r="G30" s="13" t="s">
        <v>17</v>
      </c>
      <c r="H30" s="3" t="s">
        <v>98</v>
      </c>
      <c r="I30" s="7"/>
      <c r="J30" s="162" t="str">
        <f>$J$5</f>
        <v>současný stav</v>
      </c>
      <c r="K30" s="232" t="str">
        <f>$K$5</f>
        <v>současný stav</v>
      </c>
      <c r="L30" s="162" t="str">
        <f>$L$5</f>
        <v>plánovaný stav</v>
      </c>
      <c r="M30" s="240" t="str">
        <f>$M$5</f>
        <v>plánovaný stav</v>
      </c>
      <c r="N30" s="180" t="str">
        <f>$N$5</f>
        <v>pokrok</v>
      </c>
    </row>
    <row r="31" spans="1:14" x14ac:dyDescent="0.25">
      <c r="A31" s="73"/>
      <c r="B31" s="73"/>
      <c r="C31" s="73"/>
      <c r="D31" s="73"/>
      <c r="E31" s="73"/>
      <c r="F31" s="108" t="str">
        <f>G31</f>
        <v>4.3</v>
      </c>
      <c r="G31" s="70" t="str">
        <f>$G$2&amp;F30</f>
        <v>4.3</v>
      </c>
      <c r="H31" s="4" t="s">
        <v>97</v>
      </c>
      <c r="I31" s="12"/>
      <c r="J31" s="163" t="str">
        <f>$J$6</f>
        <v>výběr úrovně</v>
      </c>
      <c r="K31" s="233" t="str">
        <f>$K$6</f>
        <v>bodové hodnocení</v>
      </c>
      <c r="L31" s="163" t="str">
        <f>$L$6</f>
        <v>výběr úrovně</v>
      </c>
      <c r="M31" s="241" t="str">
        <f>$M$6</f>
        <v>bodové hodnocení</v>
      </c>
      <c r="N31" s="181" t="str">
        <f>$N$6</f>
        <v>bodové hodnocení</v>
      </c>
    </row>
    <row r="32" spans="1:14" ht="15.75" thickBot="1" x14ac:dyDescent="0.3">
      <c r="A32" s="74"/>
      <c r="B32" s="74"/>
      <c r="C32" s="74"/>
      <c r="D32" s="74"/>
      <c r="E32" s="74"/>
      <c r="F32" s="104" t="str">
        <f t="shared" ref="F32:F39" si="4">F31</f>
        <v>4.3</v>
      </c>
      <c r="G32" s="14"/>
      <c r="H32" s="15"/>
      <c r="I32" s="8"/>
      <c r="J32" s="164"/>
      <c r="K32" s="234" t="str">
        <f>$K$7</f>
        <v>B</v>
      </c>
      <c r="L32" s="164"/>
      <c r="M32" s="242"/>
      <c r="N32" s="182" t="str">
        <f>$N$7</f>
        <v>C</v>
      </c>
    </row>
    <row r="33" spans="1:14" x14ac:dyDescent="0.25">
      <c r="A33" s="69">
        <f>IF(G33="a.",0,IF(G33="b.",1,IF(G33="c.",2,IF(G33="d.",3,IF(G33="e.",4,IF(G33="f.",5,IF(G33="g.",6,IF(G33="h.",7,IF(G33="i.",8,IF(G33="j.",9,""))))))))))</f>
        <v>0</v>
      </c>
      <c r="B33" s="103">
        <f>MAX(A33:A36)</f>
        <v>2</v>
      </c>
      <c r="C33" s="98">
        <f>SUM(K33:K36)</f>
        <v>0</v>
      </c>
      <c r="D33" s="98">
        <f>SUM(M33:M36)</f>
        <v>0</v>
      </c>
      <c r="E33" s="98">
        <f>D33-C33</f>
        <v>0</v>
      </c>
      <c r="F33" s="104" t="str">
        <f t="shared" si="4"/>
        <v>4.3</v>
      </c>
      <c r="G33" s="2" t="s">
        <v>6</v>
      </c>
      <c r="H33" s="1" t="s">
        <v>7</v>
      </c>
      <c r="I33" s="79">
        <f>IF(A33&lt;&gt;"",A33/B33*2,"")</f>
        <v>0</v>
      </c>
      <c r="J33" s="218" t="s">
        <v>298</v>
      </c>
      <c r="K33" s="235">
        <f>IF(J33="","",I33)</f>
        <v>0</v>
      </c>
      <c r="L33" s="218" t="s">
        <v>298</v>
      </c>
      <c r="M33" s="243">
        <f>IF(L33="","",I33)</f>
        <v>0</v>
      </c>
      <c r="N33" s="183">
        <f>IF(AND(M33&lt;&gt;"",E33&gt;=0),E33,"")</f>
        <v>0</v>
      </c>
    </row>
    <row r="34" spans="1:14" x14ac:dyDescent="0.25">
      <c r="A34" s="69">
        <f>IF(G34="a.",0,IF(G34="b.",1,IF(G34="c.",2,IF(G34="d.",3,IF(G34="e.",4,IF(G34="f.",5,IF(G34="g.",6,IF(G34="h.",7,IF(G34="i.",8,IF(G34="j.",9,""))))))))))</f>
        <v>1</v>
      </c>
      <c r="B34" s="99">
        <f t="shared" ref="B34:B35" si="5">B33</f>
        <v>2</v>
      </c>
      <c r="C34" s="93"/>
      <c r="D34" s="93"/>
      <c r="E34" s="99">
        <f>E33</f>
        <v>0</v>
      </c>
      <c r="F34" s="104" t="str">
        <f t="shared" si="4"/>
        <v>4.3</v>
      </c>
      <c r="G34" s="2" t="s">
        <v>8</v>
      </c>
      <c r="H34" s="1" t="s">
        <v>15</v>
      </c>
      <c r="I34" s="79">
        <f>IF(A34&lt;&gt;"",A34/B34*2,"")</f>
        <v>1</v>
      </c>
      <c r="J34" s="219"/>
      <c r="K34" s="236" t="str">
        <f>IF(J34="","",I34)</f>
        <v/>
      </c>
      <c r="L34" s="219"/>
      <c r="M34" s="244" t="str">
        <f>IF(L34="","",I34)</f>
        <v/>
      </c>
      <c r="N34" s="184" t="str">
        <f>IF(AND(M34&lt;&gt;"",E34&gt;=0),E34,"")</f>
        <v/>
      </c>
    </row>
    <row r="35" spans="1:14" x14ac:dyDescent="0.25">
      <c r="A35" s="69">
        <f>IF(G35="a.",0,IF(G35="b.",1,IF(G35="c.",2,IF(G35="d.",3,IF(G35="e.",4,IF(G35="f.",5,IF(G35="g.",6,IF(G35="h.",7,IF(G35="i.",8,IF(G35="j.",9,""))))))))))</f>
        <v>2</v>
      </c>
      <c r="B35" s="99">
        <f t="shared" si="5"/>
        <v>2</v>
      </c>
      <c r="C35" s="93"/>
      <c r="D35" s="93"/>
      <c r="E35" s="99">
        <f>E34</f>
        <v>0</v>
      </c>
      <c r="F35" s="104" t="str">
        <f t="shared" si="4"/>
        <v>4.3</v>
      </c>
      <c r="G35" s="2" t="s">
        <v>10</v>
      </c>
      <c r="H35" s="1" t="s">
        <v>16</v>
      </c>
      <c r="I35" s="79">
        <f>IF(A35&lt;&gt;"",A35/B35*2,"")</f>
        <v>2</v>
      </c>
      <c r="J35" s="219"/>
      <c r="K35" s="236" t="str">
        <f>IF(J35="","",I35)</f>
        <v/>
      </c>
      <c r="L35" s="219"/>
      <c r="M35" s="244" t="str">
        <f>IF(L35="","",I35)</f>
        <v/>
      </c>
      <c r="N35" s="184" t="str">
        <f>IF(AND(M35&lt;&gt;"",E35&gt;=0),E35,"")</f>
        <v/>
      </c>
    </row>
    <row r="36" spans="1:14" x14ac:dyDescent="0.25">
      <c r="A36" s="111"/>
      <c r="B36" s="111"/>
      <c r="C36" s="111"/>
      <c r="D36" s="111"/>
      <c r="E36" s="111"/>
      <c r="F36" s="104" t="str">
        <f t="shared" si="4"/>
        <v>4.3</v>
      </c>
      <c r="G36" s="135" t="str">
        <f>"odd. B "&amp;F36</f>
        <v>odd. B 4.3</v>
      </c>
      <c r="H36" s="136" t="s">
        <v>18</v>
      </c>
      <c r="I36" s="137"/>
      <c r="J36" s="137"/>
      <c r="K36" s="237"/>
      <c r="L36" s="137"/>
      <c r="M36" s="237"/>
      <c r="N36" s="179"/>
    </row>
    <row r="37" spans="1:14" x14ac:dyDescent="0.25">
      <c r="A37" s="119"/>
      <c r="B37" s="119"/>
      <c r="C37" s="119"/>
      <c r="D37" s="119"/>
      <c r="E37" s="119"/>
      <c r="F37" s="104" t="str">
        <f t="shared" si="4"/>
        <v>4.3</v>
      </c>
      <c r="G37" s="140"/>
      <c r="H37" s="424"/>
      <c r="I37" s="425"/>
      <c r="J37" s="425"/>
      <c r="K37" s="425"/>
      <c r="L37" s="425"/>
      <c r="M37" s="425"/>
      <c r="N37" s="426"/>
    </row>
    <row r="38" spans="1:14" x14ac:dyDescent="0.25">
      <c r="A38" s="16"/>
      <c r="B38" s="16"/>
      <c r="C38" s="16"/>
      <c r="D38" s="16"/>
      <c r="E38" s="16"/>
      <c r="F38" s="104" t="str">
        <f t="shared" si="4"/>
        <v>4.3</v>
      </c>
      <c r="G38" s="151" t="str">
        <f>"odd. C "&amp;F38</f>
        <v>odd. C 4.3</v>
      </c>
      <c r="H38" s="152" t="s">
        <v>19</v>
      </c>
      <c r="I38" s="153"/>
      <c r="J38" s="153"/>
      <c r="K38" s="238"/>
      <c r="L38" s="153"/>
      <c r="M38" s="238"/>
      <c r="N38" s="185"/>
    </row>
    <row r="39" spans="1:14" ht="15.75" thickBot="1" x14ac:dyDescent="0.3">
      <c r="A39" s="117"/>
      <c r="B39" s="117"/>
      <c r="C39" s="117"/>
      <c r="D39" s="117"/>
      <c r="E39" s="117"/>
      <c r="F39" s="104" t="str">
        <f t="shared" si="4"/>
        <v>4.3</v>
      </c>
      <c r="G39" s="156"/>
      <c r="H39" s="427"/>
      <c r="I39" s="428"/>
      <c r="J39" s="428"/>
      <c r="K39" s="428"/>
      <c r="L39" s="428"/>
      <c r="M39" s="428"/>
      <c r="N39" s="429"/>
    </row>
    <row r="40" spans="1:14" x14ac:dyDescent="0.25">
      <c r="F40" s="5"/>
    </row>
    <row r="41" spans="1:14" x14ac:dyDescent="0.25">
      <c r="F41" s="5"/>
    </row>
    <row r="42" spans="1:14" x14ac:dyDescent="0.25">
      <c r="F42" s="5"/>
    </row>
    <row r="43" spans="1:14" x14ac:dyDescent="0.25">
      <c r="F43" s="5"/>
    </row>
    <row r="44" spans="1:14" x14ac:dyDescent="0.25">
      <c r="F44" s="5"/>
    </row>
    <row r="45" spans="1:14" x14ac:dyDescent="0.25">
      <c r="F45" s="5"/>
    </row>
    <row r="46" spans="1:14" x14ac:dyDescent="0.25">
      <c r="F46" s="5"/>
    </row>
    <row r="47" spans="1:14" x14ac:dyDescent="0.25">
      <c r="F47" s="5"/>
    </row>
    <row r="48" spans="1:14" x14ac:dyDescent="0.25">
      <c r="F48" s="5"/>
    </row>
    <row r="49" spans="6:6" x14ac:dyDescent="0.25">
      <c r="F49" s="5"/>
    </row>
    <row r="50" spans="6:6" x14ac:dyDescent="0.25">
      <c r="F50" s="5"/>
    </row>
    <row r="51" spans="6:6" x14ac:dyDescent="0.25">
      <c r="F51" s="5"/>
    </row>
    <row r="52" spans="6:6" x14ac:dyDescent="0.25">
      <c r="F52" s="5"/>
    </row>
    <row r="53" spans="6:6" x14ac:dyDescent="0.25">
      <c r="F53" s="5"/>
    </row>
    <row r="54" spans="6:6" x14ac:dyDescent="0.25">
      <c r="F54" s="5"/>
    </row>
    <row r="55" spans="6:6" x14ac:dyDescent="0.25">
      <c r="F55" s="5"/>
    </row>
    <row r="56" spans="6:6" x14ac:dyDescent="0.25">
      <c r="F56" s="5"/>
    </row>
    <row r="57" spans="6:6" x14ac:dyDescent="0.25">
      <c r="F57" s="5"/>
    </row>
    <row r="58" spans="6:6" x14ac:dyDescent="0.25">
      <c r="F58" s="5"/>
    </row>
    <row r="59" spans="6:6" x14ac:dyDescent="0.25">
      <c r="F59" s="5"/>
    </row>
    <row r="60" spans="6:6" x14ac:dyDescent="0.25">
      <c r="F60" s="5"/>
    </row>
    <row r="61" spans="6:6" x14ac:dyDescent="0.25">
      <c r="F61" s="5"/>
    </row>
    <row r="62" spans="6:6" x14ac:dyDescent="0.25">
      <c r="F62" s="5"/>
    </row>
    <row r="63" spans="6:6" x14ac:dyDescent="0.25">
      <c r="F63" s="5"/>
    </row>
    <row r="64" spans="6:6" x14ac:dyDescent="0.25">
      <c r="F64" s="5"/>
    </row>
    <row r="65" spans="6:6" x14ac:dyDescent="0.25">
      <c r="F65" s="5"/>
    </row>
    <row r="66" spans="6:6" x14ac:dyDescent="0.25">
      <c r="F66" s="5"/>
    </row>
    <row r="67" spans="6:6" x14ac:dyDescent="0.25">
      <c r="F67" s="5"/>
    </row>
    <row r="68" spans="6:6" x14ac:dyDescent="0.25">
      <c r="F68" s="5"/>
    </row>
    <row r="69" spans="6:6" x14ac:dyDescent="0.25">
      <c r="F69" s="5"/>
    </row>
    <row r="70" spans="6:6" x14ac:dyDescent="0.25">
      <c r="F70" s="5"/>
    </row>
    <row r="71" spans="6:6" x14ac:dyDescent="0.25">
      <c r="F71" s="5"/>
    </row>
    <row r="72" spans="6:6" x14ac:dyDescent="0.25">
      <c r="F72" s="5"/>
    </row>
    <row r="73" spans="6:6" x14ac:dyDescent="0.25">
      <c r="F73" s="5"/>
    </row>
    <row r="74" spans="6:6" x14ac:dyDescent="0.25">
      <c r="F74" s="5"/>
    </row>
    <row r="75" spans="6:6" x14ac:dyDescent="0.25">
      <c r="F75" s="5"/>
    </row>
    <row r="76" spans="6:6" x14ac:dyDescent="0.25">
      <c r="F76" s="5"/>
    </row>
    <row r="77" spans="6:6" x14ac:dyDescent="0.25">
      <c r="F77" s="5"/>
    </row>
    <row r="78" spans="6:6" x14ac:dyDescent="0.25">
      <c r="F78" s="5"/>
    </row>
    <row r="79" spans="6:6" x14ac:dyDescent="0.25">
      <c r="F79" s="5"/>
    </row>
    <row r="80" spans="6:6" x14ac:dyDescent="0.25">
      <c r="F80" s="5"/>
    </row>
    <row r="81" spans="6:6" x14ac:dyDescent="0.25">
      <c r="F81" s="5"/>
    </row>
  </sheetData>
  <sheetProtection algorithmName="SHA-512" hashValue="nL8Wy+Jg2tk0H5zubiZzSgKG1fFaqh4WrteoF8cITBC9dgH3D5u9317aJHa8CfX0KTJOEi2WMnkTVzgaf+ra4w==" saltValue="CwT/ck1OMJgyqdnr4mLoPA==" spinCount="100000" sheet="1" objects="1" scenarios="1" formatCells="0"/>
  <mergeCells count="9">
    <mergeCell ref="H37:N37"/>
    <mergeCell ref="H39:N39"/>
    <mergeCell ref="J2:N2"/>
    <mergeCell ref="J9:N9"/>
    <mergeCell ref="G1:N1"/>
    <mergeCell ref="H17:N17"/>
    <mergeCell ref="H19:N19"/>
    <mergeCell ref="H27:N27"/>
    <mergeCell ref="H29:N29"/>
  </mergeCells>
  <conditionalFormatting sqref="I3">
    <cfRule type="expression" dxfId="114" priority="17">
      <formula>$J$8&lt;&gt;COUNTIF(I9:I111,2)</formula>
    </cfRule>
  </conditionalFormatting>
  <conditionalFormatting sqref="I4">
    <cfRule type="expression" dxfId="113" priority="18">
      <formula>$L$8&lt;&gt;COUNTIF(I9:I111,2)</formula>
    </cfRule>
  </conditionalFormatting>
  <conditionalFormatting sqref="G3">
    <cfRule type="expression" dxfId="112" priority="15">
      <formula>$J$8&lt;&gt;COUNTIF(I9:I111,2)</formula>
    </cfRule>
  </conditionalFormatting>
  <conditionalFormatting sqref="J3">
    <cfRule type="expression" dxfId="111" priority="14">
      <formula>$J$8&lt;&gt;COUNTIF(I9:I111,2)</formula>
    </cfRule>
  </conditionalFormatting>
  <conditionalFormatting sqref="K3">
    <cfRule type="expression" dxfId="110" priority="13">
      <formula>$J$8&lt;&gt;COUNTIF(I9:I111,2)</formula>
    </cfRule>
  </conditionalFormatting>
  <conditionalFormatting sqref="L3">
    <cfRule type="expression" dxfId="109" priority="12">
      <formula>$J$8&lt;&gt;COUNTIF(I9:I111,2)</formula>
    </cfRule>
  </conditionalFormatting>
  <conditionalFormatting sqref="M3">
    <cfRule type="expression" dxfId="108" priority="11">
      <formula>$J$8&lt;&gt;COUNTIF(I9:I111,2)</formula>
    </cfRule>
  </conditionalFormatting>
  <conditionalFormatting sqref="N3">
    <cfRule type="expression" dxfId="107" priority="10">
      <formula>$J$8&lt;&gt;COUNTIF(I9:I111,2)</formula>
    </cfRule>
  </conditionalFormatting>
  <conditionalFormatting sqref="G4">
    <cfRule type="expression" dxfId="106" priority="8">
      <formula>$L$8&lt;&gt;COUNTIF(I9:I111,2)</formula>
    </cfRule>
  </conditionalFormatting>
  <conditionalFormatting sqref="J4">
    <cfRule type="expression" dxfId="105" priority="7">
      <formula>$L$8&lt;&gt;COUNTIF(I9:I111,2)</formula>
    </cfRule>
  </conditionalFormatting>
  <conditionalFormatting sqref="K4">
    <cfRule type="expression" dxfId="104" priority="6">
      <formula>$L$8&lt;&gt;COUNTIF(I9:I111,2)</formula>
    </cfRule>
  </conditionalFormatting>
  <conditionalFormatting sqref="L4">
    <cfRule type="expression" dxfId="103" priority="5">
      <formula>$L$8&lt;&gt;COUNTIF(I9:I111,2)</formula>
    </cfRule>
  </conditionalFormatting>
  <conditionalFormatting sqref="M4">
    <cfRule type="expression" dxfId="102" priority="4">
      <formula>$L$8&lt;&gt;COUNTIF(I9:I111,2)</formula>
    </cfRule>
  </conditionalFormatting>
  <conditionalFormatting sqref="N4">
    <cfRule type="expression" dxfId="101" priority="3">
      <formula>$L$8&lt;&gt;COUNTIF(I9:I111,2)</formula>
    </cfRule>
  </conditionalFormatting>
  <conditionalFormatting sqref="H3">
    <cfRule type="expression" dxfId="100" priority="2">
      <formula>$J$8&lt;&gt;COUNTIF(I9:I111,2)</formula>
    </cfRule>
  </conditionalFormatting>
  <conditionalFormatting sqref="H4">
    <cfRule type="expression" dxfId="99" priority="1">
      <formula>$L$8&lt;&gt;COUNTIF(I9:I111,2)</formula>
    </cfRule>
  </conditionalFormatting>
  <pageMargins left="0.70866141732283472" right="0.70866141732283472" top="0.78740157480314965" bottom="0.78740157480314965" header="0.31496062992125984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showGridLines="0" topLeftCell="G1" zoomScale="85" zoomScaleNormal="85" workbookViewId="0">
      <pane xSplit="1" ySplit="9" topLeftCell="H10" activePane="bottomRight" state="frozen"/>
      <selection activeCell="G1" sqref="G1"/>
      <selection pane="topRight" activeCell="H1" sqref="H1"/>
      <selection pane="bottomLeft" activeCell="G10" sqref="G10"/>
      <selection pane="bottomRight" activeCell="H10" sqref="H10"/>
    </sheetView>
  </sheetViews>
  <sheetFormatPr defaultColWidth="9.140625" defaultRowHeight="15" outlineLevelRow="1" outlineLevelCol="1" x14ac:dyDescent="0.25"/>
  <cols>
    <col min="1" max="1" width="1.85546875" style="5" hidden="1" customWidth="1" outlineLevel="1"/>
    <col min="2" max="2" width="4" style="5" hidden="1" customWidth="1" outlineLevel="1"/>
    <col min="3" max="5" width="4" style="102" hidden="1" customWidth="1" outlineLevel="1"/>
    <col min="6" max="6" width="6.140625" style="80" hidden="1" customWidth="1" outlineLevel="1"/>
    <col min="7" max="7" width="8.7109375" style="5" customWidth="1" collapsed="1"/>
    <col min="8" max="8" width="130.7109375" style="5" customWidth="1"/>
    <col min="9" max="10" width="15.7109375" style="5" customWidth="1"/>
    <col min="11" max="11" width="15.7109375" style="84" customWidth="1"/>
    <col min="12" max="12" width="15.7109375" style="5" customWidth="1"/>
    <col min="13" max="14" width="15.7109375" style="84" customWidth="1"/>
    <col min="15" max="16384" width="9.140625" style="5"/>
  </cols>
  <sheetData>
    <row r="1" spans="1:14" ht="15.75" thickBot="1" x14ac:dyDescent="0.3">
      <c r="A1" s="118"/>
      <c r="B1" s="118"/>
      <c r="C1" s="118"/>
      <c r="D1" s="118"/>
      <c r="E1" s="118"/>
      <c r="F1" s="118"/>
      <c r="G1" s="437" t="s">
        <v>157</v>
      </c>
      <c r="H1" s="438"/>
      <c r="I1" s="438"/>
      <c r="J1" s="438"/>
      <c r="K1" s="438"/>
      <c r="L1" s="438"/>
      <c r="M1" s="438"/>
      <c r="N1" s="439"/>
    </row>
    <row r="2" spans="1:14" ht="32.25" thickBot="1" x14ac:dyDescent="0.3">
      <c r="A2" s="6"/>
      <c r="B2" s="6"/>
      <c r="C2" s="37"/>
      <c r="D2" s="37"/>
      <c r="E2" s="37"/>
      <c r="F2" s="37"/>
      <c r="G2" s="122" t="s">
        <v>156</v>
      </c>
      <c r="H2" s="123" t="s">
        <v>285</v>
      </c>
      <c r="I2" s="124">
        <f>I3+I4</f>
        <v>11.166666666666666</v>
      </c>
      <c r="J2" s="433" t="str">
        <f>"/    "&amp;I8&amp;" bodů"</f>
        <v>/    18 bodů</v>
      </c>
      <c r="K2" s="433"/>
      <c r="L2" s="433"/>
      <c r="M2" s="433"/>
      <c r="N2" s="434"/>
    </row>
    <row r="3" spans="1:14" ht="21" x14ac:dyDescent="0.25">
      <c r="A3" s="109"/>
      <c r="B3" s="109"/>
      <c r="C3" s="110"/>
      <c r="D3" s="110"/>
      <c r="E3" s="110"/>
      <c r="F3" s="110"/>
      <c r="G3" s="177" t="str">
        <f>"B "&amp;$G$2</f>
        <v>B 5.</v>
      </c>
      <c r="H3" s="178" t="str">
        <f>IF($J$8&lt;&gt;COUNTIF(I9:I111,2),"Počet odpovědí neodpovídá počtu otázek, prosím zkontrolujte!",$H$2)</f>
        <v>IoT – výrobek IoT a identifikace mezi prvky systému</v>
      </c>
      <c r="I3" s="129">
        <f>K8</f>
        <v>6.1666666666666661</v>
      </c>
      <c r="J3" s="207" t="str">
        <f>$J$2</f>
        <v>/    18 bodů</v>
      </c>
      <c r="K3" s="207"/>
      <c r="L3" s="207"/>
      <c r="M3" s="207"/>
      <c r="N3" s="208"/>
    </row>
    <row r="4" spans="1:14" ht="21.75" thickBot="1" x14ac:dyDescent="0.3">
      <c r="A4" s="113"/>
      <c r="B4" s="113"/>
      <c r="C4" s="114"/>
      <c r="D4" s="114"/>
      <c r="E4" s="114"/>
      <c r="F4" s="114"/>
      <c r="G4" s="175" t="str">
        <f>"C "&amp;$G$2</f>
        <v>C 5.</v>
      </c>
      <c r="H4" s="176" t="str">
        <f>IF($L$8&lt;&gt;COUNTIF(I9:I111,2),"Počet odpovědí neodpovídá počtu otázek, prosím zkontrolujte!",$H$2)</f>
        <v>IoT – výrobek IoT a identifikace mezi prvky systému</v>
      </c>
      <c r="I4" s="141">
        <f>N8</f>
        <v>5</v>
      </c>
      <c r="J4" s="142" t="str">
        <f>$J$2</f>
        <v>/    18 bodů</v>
      </c>
      <c r="K4" s="143"/>
      <c r="L4" s="144"/>
      <c r="M4" s="145"/>
      <c r="N4" s="146"/>
    </row>
    <row r="5" spans="1:14" hidden="1" outlineLevel="1" x14ac:dyDescent="0.25">
      <c r="A5" s="71"/>
      <c r="B5" s="71"/>
      <c r="C5" s="92"/>
      <c r="D5" s="92"/>
      <c r="E5" s="92"/>
      <c r="F5" s="92"/>
      <c r="G5" s="19"/>
      <c r="H5" s="23"/>
      <c r="I5" s="24"/>
      <c r="J5" s="17" t="str">
        <f>'01'!J5</f>
        <v>současný stav</v>
      </c>
      <c r="K5" s="17" t="str">
        <f>'01'!K5</f>
        <v>současný stav</v>
      </c>
      <c r="L5" s="17" t="str">
        <f>'01'!L5</f>
        <v>plánovaný stav</v>
      </c>
      <c r="M5" s="17" t="str">
        <f>'01'!M5</f>
        <v>plánovaný stav</v>
      </c>
      <c r="N5" s="17" t="str">
        <f>'01'!N5</f>
        <v>pokrok</v>
      </c>
    </row>
    <row r="6" spans="1:14" hidden="1" outlineLevel="1" x14ac:dyDescent="0.25">
      <c r="A6" s="11"/>
      <c r="B6" s="11"/>
      <c r="C6" s="93"/>
      <c r="D6" s="93"/>
      <c r="E6" s="93"/>
      <c r="F6" s="93"/>
      <c r="G6" s="20"/>
      <c r="H6" s="25"/>
      <c r="I6" s="26"/>
      <c r="J6" s="18" t="str">
        <f>'01'!J6</f>
        <v>výběr úrovně</v>
      </c>
      <c r="K6" s="18" t="str">
        <f>'01'!K6</f>
        <v>bodové hodnocení</v>
      </c>
      <c r="L6" s="18" t="str">
        <f>'01'!L6</f>
        <v>výběr úrovně</v>
      </c>
      <c r="M6" s="18" t="str">
        <f>'01'!M6</f>
        <v>bodové hodnocení</v>
      </c>
      <c r="N6" s="18" t="str">
        <f>'01'!N6</f>
        <v>bodové hodnocení</v>
      </c>
    </row>
    <row r="7" spans="1:14" hidden="1" outlineLevel="1" x14ac:dyDescent="0.25">
      <c r="A7" s="11"/>
      <c r="B7" s="11"/>
      <c r="C7" s="93"/>
      <c r="D7" s="93"/>
      <c r="E7" s="93"/>
      <c r="F7" s="93"/>
      <c r="G7" s="20"/>
      <c r="H7" s="25"/>
      <c r="I7" s="26"/>
      <c r="J7" s="18"/>
      <c r="K7" s="18" t="str">
        <f>'01'!K7</f>
        <v>B</v>
      </c>
      <c r="L7" s="18"/>
      <c r="M7" s="18"/>
      <c r="N7" s="18" t="str">
        <f>'01'!N7</f>
        <v>C</v>
      </c>
    </row>
    <row r="8" spans="1:14" ht="15.75" hidden="1" outlineLevel="1" thickBot="1" x14ac:dyDescent="0.3">
      <c r="A8" s="27"/>
      <c r="B8" s="27"/>
      <c r="C8" s="94"/>
      <c r="D8" s="94"/>
      <c r="E8" s="94"/>
      <c r="F8" s="94"/>
      <c r="G8" s="21"/>
      <c r="H8" s="27"/>
      <c r="I8" s="38">
        <f>COUNTIF(I9:I106,2)*2</f>
        <v>18</v>
      </c>
      <c r="J8" s="22">
        <f>COUNTIF(J9:J106,"x")</f>
        <v>9</v>
      </c>
      <c r="K8" s="81">
        <f>SUBTOTAL(9,K9:K106)</f>
        <v>6.1666666666666661</v>
      </c>
      <c r="L8" s="22">
        <f>COUNTIF(L9:L106,"x")</f>
        <v>9</v>
      </c>
      <c r="M8" s="81">
        <f>SUBTOTAL(9,M9:M106)</f>
        <v>11.166666666666668</v>
      </c>
      <c r="N8" s="85">
        <f>SUBTOTAL(9,N9:N106)</f>
        <v>5</v>
      </c>
    </row>
    <row r="9" spans="1:14" s="29" customFormat="1" ht="12.75" collapsed="1" thickBot="1" x14ac:dyDescent="0.3">
      <c r="A9" s="28"/>
      <c r="B9" s="28"/>
      <c r="C9" s="95"/>
      <c r="D9" s="95"/>
      <c r="E9" s="95"/>
      <c r="F9" s="95"/>
      <c r="G9" s="125"/>
      <c r="H9" s="128"/>
      <c r="I9" s="127"/>
      <c r="J9" s="435"/>
      <c r="K9" s="435"/>
      <c r="L9" s="435"/>
      <c r="M9" s="435"/>
      <c r="N9" s="436"/>
    </row>
    <row r="10" spans="1:14" x14ac:dyDescent="0.25">
      <c r="A10" s="72"/>
      <c r="B10" s="72"/>
      <c r="C10" s="96"/>
      <c r="D10" s="96"/>
      <c r="E10" s="96"/>
      <c r="F10" s="105">
        <v>1</v>
      </c>
      <c r="G10" s="13" t="s">
        <v>17</v>
      </c>
      <c r="H10" s="3" t="s">
        <v>158</v>
      </c>
      <c r="I10" s="7"/>
      <c r="J10" s="162" t="str">
        <f>$J$5</f>
        <v>současný stav</v>
      </c>
      <c r="K10" s="130" t="str">
        <f>$K$5</f>
        <v>současný stav</v>
      </c>
      <c r="L10" s="162" t="str">
        <f>$L$5</f>
        <v>plánovaný stav</v>
      </c>
      <c r="M10" s="86" t="str">
        <f>$M$5</f>
        <v>plánovaný stav</v>
      </c>
      <c r="N10" s="157" t="str">
        <f>$N$5</f>
        <v>pokrok</v>
      </c>
    </row>
    <row r="11" spans="1:14" x14ac:dyDescent="0.25">
      <c r="A11" s="73"/>
      <c r="B11" s="73"/>
      <c r="C11" s="97"/>
      <c r="D11" s="97"/>
      <c r="E11" s="97"/>
      <c r="F11" s="108" t="str">
        <f>G11</f>
        <v>5.1</v>
      </c>
      <c r="G11" s="70" t="str">
        <f>$G$2&amp;F10</f>
        <v>5.1</v>
      </c>
      <c r="H11" s="4" t="s">
        <v>159</v>
      </c>
      <c r="I11" s="12"/>
      <c r="J11" s="163" t="str">
        <f>$J$6</f>
        <v>výběr úrovně</v>
      </c>
      <c r="K11" s="131" t="str">
        <f>$K$6</f>
        <v>bodové hodnocení</v>
      </c>
      <c r="L11" s="163" t="str">
        <f>$L$6</f>
        <v>výběr úrovně</v>
      </c>
      <c r="M11" s="88" t="str">
        <f>$M$6</f>
        <v>bodové hodnocení</v>
      </c>
      <c r="N11" s="158" t="str">
        <f>$N$6</f>
        <v>bodové hodnocení</v>
      </c>
    </row>
    <row r="12" spans="1:14" ht="15.75" thickBot="1" x14ac:dyDescent="0.3">
      <c r="A12" s="73"/>
      <c r="B12" s="73"/>
      <c r="C12" s="97"/>
      <c r="D12" s="97"/>
      <c r="E12" s="97"/>
      <c r="F12" s="104" t="str">
        <f>F11</f>
        <v>5.1</v>
      </c>
      <c r="G12" s="14"/>
      <c r="H12" s="15"/>
      <c r="I12" s="8"/>
      <c r="J12" s="164"/>
      <c r="K12" s="132" t="str">
        <f>$K$7</f>
        <v>B</v>
      </c>
      <c r="L12" s="164"/>
      <c r="M12" s="89"/>
      <c r="N12" s="159" t="str">
        <f>$N$7</f>
        <v>C</v>
      </c>
    </row>
    <row r="13" spans="1:14" x14ac:dyDescent="0.25">
      <c r="A13" s="69">
        <f>IF(G13="a.",0,IF(G13="b.",1,IF(G13="c.",2,IF(G13="d.",3,IF(G13="e.",4,IF(G13="f.",5,IF(G13="g.",6,IF(G13="h.",7,IF(G13="i.",8,IF(G13="j.",9,""))))))))))</f>
        <v>0</v>
      </c>
      <c r="B13" s="103">
        <f>MAX(A13:A16)</f>
        <v>2</v>
      </c>
      <c r="C13" s="98">
        <f>SUM(K13:K16)</f>
        <v>1</v>
      </c>
      <c r="D13" s="98">
        <f>SUM(M13:M16)</f>
        <v>2</v>
      </c>
      <c r="E13" s="98">
        <f>D13-C13</f>
        <v>1</v>
      </c>
      <c r="F13" s="104" t="str">
        <f t="shared" ref="F13:F19" si="0">F12</f>
        <v>5.1</v>
      </c>
      <c r="G13" s="9" t="s">
        <v>6</v>
      </c>
      <c r="H13" s="77" t="s">
        <v>160</v>
      </c>
      <c r="I13" s="79">
        <f>IF(A13&lt;&gt;"",A13/B13*2,"")</f>
        <v>0</v>
      </c>
      <c r="J13" s="218"/>
      <c r="K13" s="133" t="str">
        <f>IF(J13="","",I13)</f>
        <v/>
      </c>
      <c r="L13" s="218"/>
      <c r="M13" s="90" t="str">
        <f>IF(L13="","",I13)</f>
        <v/>
      </c>
      <c r="N13" s="160" t="str">
        <f>IF(AND(M13&lt;&gt;"",E13&gt;=0),E13,"")</f>
        <v/>
      </c>
    </row>
    <row r="14" spans="1:14" x14ac:dyDescent="0.25">
      <c r="A14" s="69">
        <f>IF(G14="a.",0,IF(G14="b.",1,IF(G14="c.",2,IF(G14="d.",3,IF(G14="e.",4,IF(G14="f.",5,IF(G14="g.",6,IF(G14="h.",7,IF(G14="i.",8,IF(G14="j.",9,""))))))))))</f>
        <v>1</v>
      </c>
      <c r="B14" s="99">
        <f t="shared" ref="B14:B15" si="1">B13</f>
        <v>2</v>
      </c>
      <c r="C14" s="93"/>
      <c r="D14" s="93"/>
      <c r="E14" s="99">
        <f>E13</f>
        <v>1</v>
      </c>
      <c r="F14" s="104" t="str">
        <f t="shared" si="0"/>
        <v>5.1</v>
      </c>
      <c r="G14" s="2" t="s">
        <v>8</v>
      </c>
      <c r="H14" s="78" t="s">
        <v>161</v>
      </c>
      <c r="I14" s="79">
        <f>IF(A14&lt;&gt;"",A14/B14*2,"")</f>
        <v>1</v>
      </c>
      <c r="J14" s="219" t="s">
        <v>298</v>
      </c>
      <c r="K14" s="134">
        <f>IF(J14="","",I14)</f>
        <v>1</v>
      </c>
      <c r="L14" s="219"/>
      <c r="M14" s="91" t="str">
        <f>IF(L14="","",I14)</f>
        <v/>
      </c>
      <c r="N14" s="161" t="str">
        <f>IF(AND(M14&lt;&gt;"",E14&gt;=0),E14,"")</f>
        <v/>
      </c>
    </row>
    <row r="15" spans="1:14" x14ac:dyDescent="0.25">
      <c r="A15" s="69">
        <f>IF(G15="a.",0,IF(G15="b.",1,IF(G15="c.",2,IF(G15="d.",3,IF(G15="e.",4,IF(G15="f.",5,IF(G15="g.",6,IF(G15="h.",7,IF(G15="i.",8,IF(G15="j.",9,""))))))))))</f>
        <v>2</v>
      </c>
      <c r="B15" s="99">
        <f t="shared" si="1"/>
        <v>2</v>
      </c>
      <c r="C15" s="93"/>
      <c r="D15" s="93"/>
      <c r="E15" s="99">
        <f>E14</f>
        <v>1</v>
      </c>
      <c r="F15" s="104" t="str">
        <f t="shared" si="0"/>
        <v>5.1</v>
      </c>
      <c r="G15" s="2" t="s">
        <v>10</v>
      </c>
      <c r="H15" s="78" t="s">
        <v>162</v>
      </c>
      <c r="I15" s="79">
        <f>IF(A15&lt;&gt;"",A15/B15*2,"")</f>
        <v>2</v>
      </c>
      <c r="J15" s="219"/>
      <c r="K15" s="134" t="str">
        <f>IF(J15="","",I15)</f>
        <v/>
      </c>
      <c r="L15" s="219" t="s">
        <v>298</v>
      </c>
      <c r="M15" s="91">
        <f>IF(L15="","",I15)</f>
        <v>2</v>
      </c>
      <c r="N15" s="161">
        <f>IF(AND(M15&lt;&gt;"",E15&gt;=0),E15,"")</f>
        <v>1</v>
      </c>
    </row>
    <row r="16" spans="1:14" x14ac:dyDescent="0.25">
      <c r="A16" s="115"/>
      <c r="B16" s="115"/>
      <c r="C16" s="116"/>
      <c r="D16" s="116"/>
      <c r="E16" s="116"/>
      <c r="F16" s="104" t="str">
        <f t="shared" si="0"/>
        <v>5.1</v>
      </c>
      <c r="G16" s="135" t="str">
        <f>"odd. B "&amp;F16</f>
        <v>odd. B 5.1</v>
      </c>
      <c r="H16" s="136" t="s">
        <v>18</v>
      </c>
      <c r="I16" s="137"/>
      <c r="J16" s="137"/>
      <c r="K16" s="138"/>
      <c r="L16" s="137"/>
      <c r="M16" s="138"/>
      <c r="N16" s="139"/>
    </row>
    <row r="17" spans="1:14" x14ac:dyDescent="0.25">
      <c r="A17" s="119"/>
      <c r="B17" s="119"/>
      <c r="C17" s="119"/>
      <c r="D17" s="119"/>
      <c r="E17" s="119"/>
      <c r="F17" s="104" t="str">
        <f t="shared" si="0"/>
        <v>5.1</v>
      </c>
      <c r="G17" s="140"/>
      <c r="H17" s="424"/>
      <c r="I17" s="425"/>
      <c r="J17" s="425"/>
      <c r="K17" s="425"/>
      <c r="L17" s="425"/>
      <c r="M17" s="425"/>
      <c r="N17" s="426"/>
    </row>
    <row r="18" spans="1:14" x14ac:dyDescent="0.25">
      <c r="A18" s="16"/>
      <c r="B18" s="16"/>
      <c r="C18" s="100"/>
      <c r="D18" s="100"/>
      <c r="E18" s="100"/>
      <c r="F18" s="104" t="str">
        <f t="shared" si="0"/>
        <v>5.1</v>
      </c>
      <c r="G18" s="151" t="str">
        <f>"odd. C "&amp;F18</f>
        <v>odd. C 5.1</v>
      </c>
      <c r="H18" s="152" t="s">
        <v>19</v>
      </c>
      <c r="I18" s="153"/>
      <c r="J18" s="153"/>
      <c r="K18" s="154"/>
      <c r="L18" s="153"/>
      <c r="M18" s="154"/>
      <c r="N18" s="155"/>
    </row>
    <row r="19" spans="1:14" ht="15.75" thickBot="1" x14ac:dyDescent="0.3">
      <c r="A19" s="117"/>
      <c r="B19" s="117"/>
      <c r="C19" s="117"/>
      <c r="D19" s="117"/>
      <c r="E19" s="117"/>
      <c r="F19" s="104" t="str">
        <f t="shared" si="0"/>
        <v>5.1</v>
      </c>
      <c r="G19" s="156"/>
      <c r="H19" s="427"/>
      <c r="I19" s="428"/>
      <c r="J19" s="428"/>
      <c r="K19" s="428"/>
      <c r="L19" s="428"/>
      <c r="M19" s="428"/>
      <c r="N19" s="429"/>
    </row>
    <row r="20" spans="1:14" collapsed="1" x14ac:dyDescent="0.25">
      <c r="A20" s="72"/>
      <c r="B20" s="72"/>
      <c r="C20" s="96"/>
      <c r="D20" s="96"/>
      <c r="E20" s="96"/>
      <c r="F20" s="105">
        <v>2</v>
      </c>
      <c r="G20" s="13" t="s">
        <v>17</v>
      </c>
      <c r="H20" s="3" t="s">
        <v>163</v>
      </c>
      <c r="I20" s="7"/>
      <c r="J20" s="162" t="str">
        <f>$J$5</f>
        <v>současný stav</v>
      </c>
      <c r="K20" s="130" t="str">
        <f>$K$5</f>
        <v>současný stav</v>
      </c>
      <c r="L20" s="162" t="str">
        <f>$L$5</f>
        <v>plánovaný stav</v>
      </c>
      <c r="M20" s="86" t="str">
        <f>$M$5</f>
        <v>plánovaný stav</v>
      </c>
      <c r="N20" s="157" t="str">
        <f>$N$5</f>
        <v>pokrok</v>
      </c>
    </row>
    <row r="21" spans="1:14" x14ac:dyDescent="0.25">
      <c r="A21" s="73"/>
      <c r="B21" s="73"/>
      <c r="C21" s="97"/>
      <c r="D21" s="97"/>
      <c r="E21" s="97"/>
      <c r="F21" s="108" t="str">
        <f>G21</f>
        <v>5.2</v>
      </c>
      <c r="G21" s="70" t="str">
        <f>$G$2&amp;F20</f>
        <v>5.2</v>
      </c>
      <c r="H21" s="4" t="s">
        <v>164</v>
      </c>
      <c r="I21" s="12"/>
      <c r="J21" s="163" t="str">
        <f>$J$6</f>
        <v>výběr úrovně</v>
      </c>
      <c r="K21" s="131" t="str">
        <f>$K$6</f>
        <v>bodové hodnocení</v>
      </c>
      <c r="L21" s="163" t="str">
        <f>$L$6</f>
        <v>výběr úrovně</v>
      </c>
      <c r="M21" s="88" t="str">
        <f>$M$6</f>
        <v>bodové hodnocení</v>
      </c>
      <c r="N21" s="158" t="str">
        <f>$N$6</f>
        <v>bodové hodnocení</v>
      </c>
    </row>
    <row r="22" spans="1:14" ht="15.75" thickBot="1" x14ac:dyDescent="0.3">
      <c r="A22" s="74"/>
      <c r="B22" s="74"/>
      <c r="C22" s="101"/>
      <c r="D22" s="101"/>
      <c r="E22" s="101"/>
      <c r="F22" s="104" t="str">
        <f t="shared" ref="F22:F30" si="2">F21</f>
        <v>5.2</v>
      </c>
      <c r="G22" s="14"/>
      <c r="H22" s="15"/>
      <c r="I22" s="8"/>
      <c r="J22" s="164"/>
      <c r="K22" s="132" t="str">
        <f>$K$7</f>
        <v>B</v>
      </c>
      <c r="L22" s="164"/>
      <c r="M22" s="89"/>
      <c r="N22" s="159" t="str">
        <f>$N$7</f>
        <v>C</v>
      </c>
    </row>
    <row r="23" spans="1:14" x14ac:dyDescent="0.25">
      <c r="A23" s="69">
        <f>IF(G23="a.",0,IF(G23="b.",1,IF(G23="c.",2,IF(G23="d.",3,IF(G23="e.",4,IF(G23="f.",5,IF(G23="g.",6,IF(G23="h.",7,IF(G23="i.",8,IF(G23="j.",9,""))))))))))</f>
        <v>0</v>
      </c>
      <c r="B23" s="103">
        <f>MAX(A23:A27)</f>
        <v>3</v>
      </c>
      <c r="C23" s="98">
        <f>SUM(K23:K27)</f>
        <v>0</v>
      </c>
      <c r="D23" s="98">
        <f>SUM(M23:M27)</f>
        <v>2</v>
      </c>
      <c r="E23" s="98">
        <f>D23-C23</f>
        <v>2</v>
      </c>
      <c r="F23" s="104" t="str">
        <f t="shared" si="2"/>
        <v>5.2</v>
      </c>
      <c r="G23" s="9" t="s">
        <v>6</v>
      </c>
      <c r="H23" s="10" t="s">
        <v>165</v>
      </c>
      <c r="I23" s="79">
        <f>IF(A23&lt;&gt;"",A23/B23*2,"")</f>
        <v>0</v>
      </c>
      <c r="J23" s="218" t="s">
        <v>298</v>
      </c>
      <c r="K23" s="133">
        <f>IF(J23="","",I23)</f>
        <v>0</v>
      </c>
      <c r="L23" s="218"/>
      <c r="M23" s="90" t="str">
        <f>IF(L23="","",I23)</f>
        <v/>
      </c>
      <c r="N23" s="160" t="str">
        <f>IF(AND(M23&lt;&gt;"",E23&gt;=0),E23,"")</f>
        <v/>
      </c>
    </row>
    <row r="24" spans="1:14" x14ac:dyDescent="0.25">
      <c r="A24" s="69">
        <f>IF(G24="a.",0,IF(G24="b.",1,IF(G24="c.",2,IF(G24="d.",3,IF(G24="e.",4,IF(G24="f.",5,IF(G24="g.",6,IF(G24="h.",7,IF(G24="i.",8,IF(G24="j.",9,""))))))))))</f>
        <v>1</v>
      </c>
      <c r="B24" s="99">
        <f t="shared" ref="B24" si="3">B23</f>
        <v>3</v>
      </c>
      <c r="C24" s="93"/>
      <c r="D24" s="93"/>
      <c r="E24" s="99">
        <f>E23</f>
        <v>2</v>
      </c>
      <c r="F24" s="104" t="str">
        <f t="shared" si="2"/>
        <v>5.2</v>
      </c>
      <c r="G24" s="2" t="s">
        <v>8</v>
      </c>
      <c r="H24" s="1" t="s">
        <v>161</v>
      </c>
      <c r="I24" s="79">
        <f>IF(A24&lt;&gt;"",A24/B24*2,"")</f>
        <v>0.66666666666666663</v>
      </c>
      <c r="J24" s="219"/>
      <c r="K24" s="134" t="str">
        <f>IF(J24="","",I24)</f>
        <v/>
      </c>
      <c r="L24" s="219"/>
      <c r="M24" s="91" t="str">
        <f>IF(L24="","",I24)</f>
        <v/>
      </c>
      <c r="N24" s="161" t="str">
        <f>IF(AND(M24&lt;&gt;"",E24&gt;=0),E24,"")</f>
        <v/>
      </c>
    </row>
    <row r="25" spans="1:14" x14ac:dyDescent="0.25">
      <c r="A25" s="69">
        <f>IF(G25="a.",0,IF(G25="b.",1,IF(G25="c.",2,IF(G25="d.",3,IF(G25="e.",4,IF(G25="f.",5,IF(G25="g.",6,IF(G25="h.",7,IF(G25="i.",8,IF(G25="j.",9,""))))))))))</f>
        <v>2</v>
      </c>
      <c r="B25" s="99">
        <f>B23</f>
        <v>3</v>
      </c>
      <c r="C25" s="93"/>
      <c r="D25" s="93"/>
      <c r="E25" s="99">
        <f>E23</f>
        <v>2</v>
      </c>
      <c r="F25" s="104" t="str">
        <f t="shared" si="2"/>
        <v>5.2</v>
      </c>
      <c r="G25" s="2" t="s">
        <v>10</v>
      </c>
      <c r="H25" s="1" t="s">
        <v>162</v>
      </c>
      <c r="I25" s="79">
        <f>IF(A25&lt;&gt;"",A25/B25*2,"")</f>
        <v>1.3333333333333333</v>
      </c>
      <c r="J25" s="219"/>
      <c r="K25" s="134" t="str">
        <f>IF(J25="","",I25)</f>
        <v/>
      </c>
      <c r="L25" s="219"/>
      <c r="M25" s="91" t="str">
        <f>IF(L25="","",I25)</f>
        <v/>
      </c>
      <c r="N25" s="161" t="str">
        <f>IF(AND(M25&lt;&gt;"",E25&gt;=0),E25,"")</f>
        <v/>
      </c>
    </row>
    <row r="26" spans="1:14" x14ac:dyDescent="0.25">
      <c r="A26" s="69">
        <f>IF(G26="a.",0,IF(G26="b.",1,IF(G26="c.",2,IF(G26="d.",3,IF(G26="e.",4,IF(G26="f.",5,IF(G26="g.",6,IF(G26="h.",7,IF(G26="i.",8,IF(G26="j.",9,""))))))))))</f>
        <v>3</v>
      </c>
      <c r="B26" s="99">
        <f>B24</f>
        <v>3</v>
      </c>
      <c r="C26" s="93"/>
      <c r="D26" s="93"/>
      <c r="E26" s="99">
        <f>E24</f>
        <v>2</v>
      </c>
      <c r="F26" s="104" t="str">
        <f t="shared" si="2"/>
        <v>5.2</v>
      </c>
      <c r="G26" s="2" t="s">
        <v>68</v>
      </c>
      <c r="H26" s="1" t="s">
        <v>166</v>
      </c>
      <c r="I26" s="79">
        <f>IF(A26&lt;&gt;"",A26/B26*2,"")</f>
        <v>2</v>
      </c>
      <c r="J26" s="219"/>
      <c r="K26" s="134" t="str">
        <f>IF(J26="","",I26)</f>
        <v/>
      </c>
      <c r="L26" s="219" t="s">
        <v>298</v>
      </c>
      <c r="M26" s="91">
        <f>IF(L26="","",I26)</f>
        <v>2</v>
      </c>
      <c r="N26" s="161">
        <f>IF(AND(M26&lt;&gt;"",E26&gt;=0),E26,"")</f>
        <v>2</v>
      </c>
    </row>
    <row r="27" spans="1:14" x14ac:dyDescent="0.25">
      <c r="A27" s="115"/>
      <c r="B27" s="115"/>
      <c r="C27" s="116"/>
      <c r="D27" s="116"/>
      <c r="E27" s="116"/>
      <c r="F27" s="104" t="str">
        <f t="shared" si="2"/>
        <v>5.2</v>
      </c>
      <c r="G27" s="135" t="str">
        <f>"odd. B "&amp;F27</f>
        <v>odd. B 5.2</v>
      </c>
      <c r="H27" s="136" t="s">
        <v>18</v>
      </c>
      <c r="I27" s="137"/>
      <c r="J27" s="137"/>
      <c r="K27" s="138"/>
      <c r="L27" s="137"/>
      <c r="M27" s="138"/>
      <c r="N27" s="139"/>
    </row>
    <row r="28" spans="1:14" x14ac:dyDescent="0.25">
      <c r="A28" s="119"/>
      <c r="B28" s="119"/>
      <c r="C28" s="119"/>
      <c r="D28" s="119"/>
      <c r="E28" s="119"/>
      <c r="F28" s="104" t="str">
        <f t="shared" si="2"/>
        <v>5.2</v>
      </c>
      <c r="G28" s="140"/>
      <c r="H28" s="424"/>
      <c r="I28" s="425"/>
      <c r="J28" s="425"/>
      <c r="K28" s="425"/>
      <c r="L28" s="425"/>
      <c r="M28" s="425"/>
      <c r="N28" s="426"/>
    </row>
    <row r="29" spans="1:14" x14ac:dyDescent="0.25">
      <c r="A29" s="16"/>
      <c r="B29" s="16"/>
      <c r="C29" s="100"/>
      <c r="D29" s="100"/>
      <c r="E29" s="100"/>
      <c r="F29" s="104" t="str">
        <f t="shared" si="2"/>
        <v>5.2</v>
      </c>
      <c r="G29" s="151" t="str">
        <f>"odd. C "&amp;F29</f>
        <v>odd. C 5.2</v>
      </c>
      <c r="H29" s="152" t="s">
        <v>19</v>
      </c>
      <c r="I29" s="153"/>
      <c r="J29" s="153"/>
      <c r="K29" s="154"/>
      <c r="L29" s="153"/>
      <c r="M29" s="154"/>
      <c r="N29" s="155"/>
    </row>
    <row r="30" spans="1:14" ht="15.75" thickBot="1" x14ac:dyDescent="0.3">
      <c r="A30" s="117"/>
      <c r="B30" s="117"/>
      <c r="C30" s="117"/>
      <c r="D30" s="117"/>
      <c r="E30" s="117"/>
      <c r="F30" s="104" t="str">
        <f t="shared" si="2"/>
        <v>5.2</v>
      </c>
      <c r="G30" s="156"/>
      <c r="H30" s="427"/>
      <c r="I30" s="428"/>
      <c r="J30" s="428"/>
      <c r="K30" s="428"/>
      <c r="L30" s="428"/>
      <c r="M30" s="428"/>
      <c r="N30" s="429"/>
    </row>
    <row r="31" spans="1:14" collapsed="1" x14ac:dyDescent="0.25">
      <c r="A31" s="72"/>
      <c r="B31" s="72"/>
      <c r="C31" s="96"/>
      <c r="D31" s="96"/>
      <c r="E31" s="96"/>
      <c r="F31" s="105">
        <v>3</v>
      </c>
      <c r="G31" s="13" t="s">
        <v>17</v>
      </c>
      <c r="H31" s="3" t="s">
        <v>167</v>
      </c>
      <c r="I31" s="7"/>
      <c r="J31" s="162" t="str">
        <f>$J$5</f>
        <v>současný stav</v>
      </c>
      <c r="K31" s="130" t="str">
        <f>$K$5</f>
        <v>současný stav</v>
      </c>
      <c r="L31" s="162" t="str">
        <f>$L$5</f>
        <v>plánovaný stav</v>
      </c>
      <c r="M31" s="86" t="str">
        <f>$M$5</f>
        <v>plánovaný stav</v>
      </c>
      <c r="N31" s="157" t="str">
        <f>$N$5</f>
        <v>pokrok</v>
      </c>
    </row>
    <row r="32" spans="1:14" x14ac:dyDescent="0.25">
      <c r="A32" s="73"/>
      <c r="B32" s="73"/>
      <c r="C32" s="97"/>
      <c r="D32" s="97"/>
      <c r="E32" s="97"/>
      <c r="F32" s="108" t="str">
        <f>G32</f>
        <v>5.3</v>
      </c>
      <c r="G32" s="70" t="str">
        <f>$G$2&amp;F31</f>
        <v>5.3</v>
      </c>
      <c r="H32" s="4" t="s">
        <v>168</v>
      </c>
      <c r="I32" s="12"/>
      <c r="J32" s="163" t="str">
        <f>$J$6</f>
        <v>výběr úrovně</v>
      </c>
      <c r="K32" s="131" t="str">
        <f>$K$6</f>
        <v>bodové hodnocení</v>
      </c>
      <c r="L32" s="163" t="str">
        <f>$L$6</f>
        <v>výběr úrovně</v>
      </c>
      <c r="M32" s="88" t="str">
        <f>$M$6</f>
        <v>bodové hodnocení</v>
      </c>
      <c r="N32" s="158" t="str">
        <f>$N$6</f>
        <v>bodové hodnocení</v>
      </c>
    </row>
    <row r="33" spans="1:14" ht="15.75" thickBot="1" x14ac:dyDescent="0.3">
      <c r="A33" s="74"/>
      <c r="B33" s="74"/>
      <c r="C33" s="101"/>
      <c r="D33" s="101"/>
      <c r="E33" s="101"/>
      <c r="F33" s="104" t="str">
        <f t="shared" ref="F33:F52" si="4">F32</f>
        <v>5.3</v>
      </c>
      <c r="G33" s="14"/>
      <c r="H33" s="15"/>
      <c r="I33" s="8"/>
      <c r="J33" s="164"/>
      <c r="K33" s="132" t="str">
        <f>$K$7</f>
        <v>B</v>
      </c>
      <c r="L33" s="164"/>
      <c r="M33" s="89"/>
      <c r="N33" s="159" t="str">
        <f>$N$7</f>
        <v>C</v>
      </c>
    </row>
    <row r="34" spans="1:14" x14ac:dyDescent="0.25">
      <c r="A34" s="69">
        <f>IF(G34="a.",0,IF(G34="b.",1,IF(G34="c.",2,IF(G34="d.",3,IF(G34="e.",4,IF(G34="f.",5,IF(G34="g.",6,IF(G34="h.",7,IF(G34="i.",8,IF(G34="j.",9,""))))))))))</f>
        <v>0</v>
      </c>
      <c r="B34" s="103">
        <f>MAX(A34:A38)</f>
        <v>3</v>
      </c>
      <c r="C34" s="98">
        <f>SUM(K34:K38)</f>
        <v>0.66666666666666663</v>
      </c>
      <c r="D34" s="98">
        <f>SUM(M34:M38)</f>
        <v>0.66666666666666663</v>
      </c>
      <c r="E34" s="98">
        <f>D34-C34</f>
        <v>0</v>
      </c>
      <c r="F34" s="104" t="str">
        <f t="shared" si="4"/>
        <v>5.3</v>
      </c>
      <c r="G34" s="2" t="s">
        <v>6</v>
      </c>
      <c r="H34" s="1" t="s">
        <v>165</v>
      </c>
      <c r="I34" s="79">
        <f>IF(A34&lt;&gt;"",A34/B34*2,"")</f>
        <v>0</v>
      </c>
      <c r="J34" s="218"/>
      <c r="K34" s="133" t="str">
        <f>IF(J34="","",I34)</f>
        <v/>
      </c>
      <c r="L34" s="218"/>
      <c r="M34" s="90" t="str">
        <f>IF(L34="","",I34)</f>
        <v/>
      </c>
      <c r="N34" s="160" t="str">
        <f>IF(AND(M34&lt;&gt;"",E34&gt;=0),E34,"")</f>
        <v/>
      </c>
    </row>
    <row r="35" spans="1:14" x14ac:dyDescent="0.25">
      <c r="A35" s="69">
        <f>IF(G35="a.",0,IF(G35="b.",1,IF(G35="c.",2,IF(G35="d.",3,IF(G35="e.",4,IF(G35="f.",5,IF(G35="g.",6,IF(G35="h.",7,IF(G35="i.",8,IF(G35="j.",9,""))))))))))</f>
        <v>1</v>
      </c>
      <c r="B35" s="99">
        <f t="shared" ref="B35" si="5">B34</f>
        <v>3</v>
      </c>
      <c r="C35" s="93"/>
      <c r="D35" s="93"/>
      <c r="E35" s="99">
        <f>E34</f>
        <v>0</v>
      </c>
      <c r="F35" s="104" t="str">
        <f t="shared" si="4"/>
        <v>5.3</v>
      </c>
      <c r="G35" s="2" t="s">
        <v>8</v>
      </c>
      <c r="H35" s="1" t="s">
        <v>161</v>
      </c>
      <c r="I35" s="79">
        <f>IF(A35&lt;&gt;"",A35/B35*2,"")</f>
        <v>0.66666666666666663</v>
      </c>
      <c r="J35" s="219" t="s">
        <v>298</v>
      </c>
      <c r="K35" s="134">
        <f>IF(J35="","",I35)</f>
        <v>0.66666666666666663</v>
      </c>
      <c r="L35" s="219" t="s">
        <v>298</v>
      </c>
      <c r="M35" s="91">
        <f>IF(L35="","",I35)</f>
        <v>0.66666666666666663</v>
      </c>
      <c r="N35" s="161">
        <f>IF(AND(M35&lt;&gt;"",E35&gt;=0),E35,"")</f>
        <v>0</v>
      </c>
    </row>
    <row r="36" spans="1:14" x14ac:dyDescent="0.25">
      <c r="A36" s="69">
        <f>IF(G36="a.",0,IF(G36="b.",1,IF(G36="c.",2,IF(G36="d.",3,IF(G36="e.",4,IF(G36="f.",5,IF(G36="g.",6,IF(G36="h.",7,IF(G36="i.",8,IF(G36="j.",9,""))))))))))</f>
        <v>2</v>
      </c>
      <c r="B36" s="99">
        <f>B34</f>
        <v>3</v>
      </c>
      <c r="C36" s="93"/>
      <c r="D36" s="93"/>
      <c r="E36" s="99">
        <f>E34</f>
        <v>0</v>
      </c>
      <c r="F36" s="104" t="str">
        <f t="shared" si="4"/>
        <v>5.3</v>
      </c>
      <c r="G36" s="2" t="s">
        <v>10</v>
      </c>
      <c r="H36" s="1" t="s">
        <v>162</v>
      </c>
      <c r="I36" s="79">
        <f>IF(A36&lt;&gt;"",A36/B36*2,"")</f>
        <v>1.3333333333333333</v>
      </c>
      <c r="J36" s="219"/>
      <c r="K36" s="134" t="str">
        <f>IF(J36="","",I36)</f>
        <v/>
      </c>
      <c r="L36" s="219"/>
      <c r="M36" s="91" t="str">
        <f>IF(L36="","",I36)</f>
        <v/>
      </c>
      <c r="N36" s="161" t="str">
        <f>IF(AND(M36&lt;&gt;"",E36&gt;=0),E36,"")</f>
        <v/>
      </c>
    </row>
    <row r="37" spans="1:14" x14ac:dyDescent="0.25">
      <c r="A37" s="69">
        <f>IF(G37="a.",0,IF(G37="b.",1,IF(G37="c.",2,IF(G37="d.",3,IF(G37="e.",4,IF(G37="f.",5,IF(G37="g.",6,IF(G37="h.",7,IF(G37="i.",8,IF(G37="j.",9,""))))))))))</f>
        <v>3</v>
      </c>
      <c r="B37" s="99">
        <f>B35</f>
        <v>3</v>
      </c>
      <c r="C37" s="93"/>
      <c r="D37" s="93"/>
      <c r="E37" s="99">
        <f>E35</f>
        <v>0</v>
      </c>
      <c r="F37" s="104" t="str">
        <f t="shared" si="4"/>
        <v>5.3</v>
      </c>
      <c r="G37" s="2" t="s">
        <v>68</v>
      </c>
      <c r="H37" s="1" t="s">
        <v>166</v>
      </c>
      <c r="I37" s="79">
        <f>IF(A37&lt;&gt;"",A37/B37*2,"")</f>
        <v>2</v>
      </c>
      <c r="J37" s="219"/>
      <c r="K37" s="134" t="str">
        <f>IF(J37="","",I37)</f>
        <v/>
      </c>
      <c r="L37" s="219"/>
      <c r="M37" s="91" t="str">
        <f>IF(L37="","",I37)</f>
        <v/>
      </c>
      <c r="N37" s="161" t="str">
        <f>IF(AND(M37&lt;&gt;"",E37&gt;=0),E37,"")</f>
        <v/>
      </c>
    </row>
    <row r="38" spans="1:14" x14ac:dyDescent="0.25">
      <c r="A38" s="115"/>
      <c r="B38" s="115"/>
      <c r="C38" s="116"/>
      <c r="D38" s="116"/>
      <c r="E38" s="116"/>
      <c r="F38" s="104" t="str">
        <f t="shared" si="4"/>
        <v>5.3</v>
      </c>
      <c r="G38" s="135" t="str">
        <f>"odd. B "&amp;F38</f>
        <v>odd. B 5.3</v>
      </c>
      <c r="H38" s="136" t="s">
        <v>18</v>
      </c>
      <c r="I38" s="137"/>
      <c r="J38" s="137"/>
      <c r="K38" s="138"/>
      <c r="L38" s="137"/>
      <c r="M38" s="138"/>
      <c r="N38" s="139"/>
    </row>
    <row r="39" spans="1:14" x14ac:dyDescent="0.25">
      <c r="A39" s="119"/>
      <c r="B39" s="119"/>
      <c r="C39" s="119"/>
      <c r="D39" s="119"/>
      <c r="E39" s="119"/>
      <c r="F39" s="104" t="str">
        <f t="shared" si="4"/>
        <v>5.3</v>
      </c>
      <c r="G39" s="140"/>
      <c r="H39" s="424"/>
      <c r="I39" s="425"/>
      <c r="J39" s="425"/>
      <c r="K39" s="425"/>
      <c r="L39" s="425"/>
      <c r="M39" s="425"/>
      <c r="N39" s="426"/>
    </row>
    <row r="40" spans="1:14" x14ac:dyDescent="0.25">
      <c r="A40" s="16"/>
      <c r="B40" s="16"/>
      <c r="C40" s="100"/>
      <c r="D40" s="100"/>
      <c r="E40" s="100"/>
      <c r="F40" s="104" t="str">
        <f t="shared" si="4"/>
        <v>5.3</v>
      </c>
      <c r="G40" s="151" t="str">
        <f>"odd. C "&amp;F40</f>
        <v>odd. C 5.3</v>
      </c>
      <c r="H40" s="152" t="s">
        <v>19</v>
      </c>
      <c r="I40" s="153"/>
      <c r="J40" s="153"/>
      <c r="K40" s="154"/>
      <c r="L40" s="153"/>
      <c r="M40" s="154"/>
      <c r="N40" s="155"/>
    </row>
    <row r="41" spans="1:14" ht="15.75" thickBot="1" x14ac:dyDescent="0.3">
      <c r="A41" s="117"/>
      <c r="B41" s="117"/>
      <c r="C41" s="117"/>
      <c r="D41" s="117"/>
      <c r="E41" s="117"/>
      <c r="F41" s="104" t="str">
        <f t="shared" si="4"/>
        <v>5.3</v>
      </c>
      <c r="G41" s="156"/>
      <c r="H41" s="427"/>
      <c r="I41" s="428"/>
      <c r="J41" s="428"/>
      <c r="K41" s="428"/>
      <c r="L41" s="428"/>
      <c r="M41" s="428"/>
      <c r="N41" s="429"/>
    </row>
    <row r="42" spans="1:14" collapsed="1" x14ac:dyDescent="0.25">
      <c r="A42" s="72"/>
      <c r="B42" s="72"/>
      <c r="C42" s="96"/>
      <c r="D42" s="96"/>
      <c r="E42" s="96"/>
      <c r="F42" s="105">
        <v>4</v>
      </c>
      <c r="G42" s="13" t="s">
        <v>17</v>
      </c>
      <c r="H42" s="3" t="s">
        <v>169</v>
      </c>
      <c r="I42" s="7"/>
      <c r="J42" s="162" t="str">
        <f>$J$5</f>
        <v>současný stav</v>
      </c>
      <c r="K42" s="130" t="str">
        <f>$K$5</f>
        <v>současný stav</v>
      </c>
      <c r="L42" s="162" t="str">
        <f>$L$5</f>
        <v>plánovaný stav</v>
      </c>
      <c r="M42" s="86" t="str">
        <f>$M$5</f>
        <v>plánovaný stav</v>
      </c>
      <c r="N42" s="157" t="str">
        <f>$N$5</f>
        <v>pokrok</v>
      </c>
    </row>
    <row r="43" spans="1:14" x14ac:dyDescent="0.25">
      <c r="A43" s="73"/>
      <c r="B43" s="73"/>
      <c r="C43" s="97"/>
      <c r="D43" s="97"/>
      <c r="E43" s="97"/>
      <c r="F43" s="108" t="str">
        <f>G43</f>
        <v>5.4</v>
      </c>
      <c r="G43" s="70" t="str">
        <f>$G$2&amp;F42</f>
        <v>5.4</v>
      </c>
      <c r="H43" s="4" t="s">
        <v>170</v>
      </c>
      <c r="I43" s="12"/>
      <c r="J43" s="163" t="str">
        <f>$J$6</f>
        <v>výběr úrovně</v>
      </c>
      <c r="K43" s="131" t="str">
        <f>$K$6</f>
        <v>bodové hodnocení</v>
      </c>
      <c r="L43" s="163" t="str">
        <f>$L$6</f>
        <v>výběr úrovně</v>
      </c>
      <c r="M43" s="88" t="str">
        <f>$M$6</f>
        <v>bodové hodnocení</v>
      </c>
      <c r="N43" s="158" t="str">
        <f>$N$6</f>
        <v>bodové hodnocení</v>
      </c>
    </row>
    <row r="44" spans="1:14" ht="15.75" thickBot="1" x14ac:dyDescent="0.3">
      <c r="A44" s="74"/>
      <c r="B44" s="74"/>
      <c r="C44" s="101"/>
      <c r="D44" s="101"/>
      <c r="E44" s="101"/>
      <c r="F44" s="104" t="str">
        <f t="shared" si="4"/>
        <v>5.4</v>
      </c>
      <c r="G44" s="14"/>
      <c r="H44" s="15"/>
      <c r="I44" s="8"/>
      <c r="J44" s="164"/>
      <c r="K44" s="132" t="str">
        <f>$K$7</f>
        <v>B</v>
      </c>
      <c r="L44" s="164"/>
      <c r="M44" s="89"/>
      <c r="N44" s="159" t="str">
        <f>$N$7</f>
        <v>C</v>
      </c>
    </row>
    <row r="45" spans="1:14" x14ac:dyDescent="0.25">
      <c r="A45" s="69">
        <f>IF(G45="a.",0,IF(G45="b.",1,IF(G45="c.",2,IF(G45="d.",3,IF(G45="e.",4,IF(G45="f.",5,IF(G45="g.",6,IF(G45="h.",7,IF(G45="i.",8,IF(G45="j.",9,""))))))))))</f>
        <v>0</v>
      </c>
      <c r="B45" s="103">
        <f>MAX(A45:A49)</f>
        <v>3</v>
      </c>
      <c r="C45" s="98">
        <f>SUM(K45:K49)</f>
        <v>0.66666666666666663</v>
      </c>
      <c r="D45" s="98">
        <f>SUM(M45:M49)</f>
        <v>0.66666666666666663</v>
      </c>
      <c r="E45" s="98">
        <f>D45-C45</f>
        <v>0</v>
      </c>
      <c r="F45" s="104" t="str">
        <f t="shared" si="4"/>
        <v>5.4</v>
      </c>
      <c r="G45" s="2" t="s">
        <v>6</v>
      </c>
      <c r="H45" s="1" t="s">
        <v>7</v>
      </c>
      <c r="I45" s="79">
        <f>IF(A45&lt;&gt;"",A45/B45*2,"")</f>
        <v>0</v>
      </c>
      <c r="J45" s="218"/>
      <c r="K45" s="133" t="str">
        <f>IF(J45="","",I45)</f>
        <v/>
      </c>
      <c r="L45" s="218"/>
      <c r="M45" s="90" t="str">
        <f>IF(L45="","",I45)</f>
        <v/>
      </c>
      <c r="N45" s="160" t="str">
        <f>IF(AND(M45&lt;&gt;"",E45&gt;=0),E45,"")</f>
        <v/>
      </c>
    </row>
    <row r="46" spans="1:14" x14ac:dyDescent="0.25">
      <c r="A46" s="69">
        <f>IF(G46="a.",0,IF(G46="b.",1,IF(G46="c.",2,IF(G46="d.",3,IF(G46="e.",4,IF(G46="f.",5,IF(G46="g.",6,IF(G46="h.",7,IF(G46="i.",8,IF(G46="j.",9,""))))))))))</f>
        <v>1</v>
      </c>
      <c r="B46" s="99">
        <f t="shared" ref="B46" si="6">B45</f>
        <v>3</v>
      </c>
      <c r="C46" s="93"/>
      <c r="D46" s="93"/>
      <c r="E46" s="99">
        <f>E45</f>
        <v>0</v>
      </c>
      <c r="F46" s="104" t="str">
        <f t="shared" si="4"/>
        <v>5.4</v>
      </c>
      <c r="G46" s="2" t="s">
        <v>8</v>
      </c>
      <c r="H46" s="1" t="s">
        <v>171</v>
      </c>
      <c r="I46" s="79">
        <f>IF(A46&lt;&gt;"",A46/B46*2,"")</f>
        <v>0.66666666666666663</v>
      </c>
      <c r="J46" s="219" t="s">
        <v>298</v>
      </c>
      <c r="K46" s="134">
        <f>IF(J46="","",I46)</f>
        <v>0.66666666666666663</v>
      </c>
      <c r="L46" s="219" t="s">
        <v>298</v>
      </c>
      <c r="M46" s="91">
        <f>IF(L46="","",I46)</f>
        <v>0.66666666666666663</v>
      </c>
      <c r="N46" s="161">
        <f>IF(AND(M46&lt;&gt;"",E46&gt;=0),E46,"")</f>
        <v>0</v>
      </c>
    </row>
    <row r="47" spans="1:14" x14ac:dyDescent="0.25">
      <c r="A47" s="69">
        <f>IF(G47="a.",0,IF(G47="b.",1,IF(G47="c.",2,IF(G47="d.",3,IF(G47="e.",4,IF(G47="f.",5,IF(G47="g.",6,IF(G47="h.",7,IF(G47="i.",8,IF(G47="j.",9,""))))))))))</f>
        <v>2</v>
      </c>
      <c r="B47" s="99">
        <f>B45</f>
        <v>3</v>
      </c>
      <c r="C47" s="93"/>
      <c r="D47" s="93"/>
      <c r="E47" s="99">
        <f>E45</f>
        <v>0</v>
      </c>
      <c r="F47" s="104" t="str">
        <f t="shared" si="4"/>
        <v>5.4</v>
      </c>
      <c r="G47" s="2" t="s">
        <v>10</v>
      </c>
      <c r="H47" s="1" t="s">
        <v>172</v>
      </c>
      <c r="I47" s="79">
        <f>IF(A47&lt;&gt;"",A47/B47*2,"")</f>
        <v>1.3333333333333333</v>
      </c>
      <c r="J47" s="219"/>
      <c r="K47" s="134" t="str">
        <f>IF(J47="","",I47)</f>
        <v/>
      </c>
      <c r="L47" s="219"/>
      <c r="M47" s="91" t="str">
        <f>IF(L47="","",I47)</f>
        <v/>
      </c>
      <c r="N47" s="161" t="str">
        <f>IF(AND(M47&lt;&gt;"",E47&gt;=0),E47,"")</f>
        <v/>
      </c>
    </row>
    <row r="48" spans="1:14" x14ac:dyDescent="0.25">
      <c r="A48" s="69">
        <f>IF(G48="a.",0,IF(G48="b.",1,IF(G48="c.",2,IF(G48="d.",3,IF(G48="e.",4,IF(G48="f.",5,IF(G48="g.",6,IF(G48="h.",7,IF(G48="i.",8,IF(G48="j.",9,""))))))))))</f>
        <v>3</v>
      </c>
      <c r="B48" s="99">
        <f>B46</f>
        <v>3</v>
      </c>
      <c r="C48" s="93"/>
      <c r="D48" s="93"/>
      <c r="E48" s="99">
        <f>E46</f>
        <v>0</v>
      </c>
      <c r="F48" s="104" t="str">
        <f t="shared" si="4"/>
        <v>5.4</v>
      </c>
      <c r="G48" s="2" t="s">
        <v>68</v>
      </c>
      <c r="H48" s="1" t="s">
        <v>166</v>
      </c>
      <c r="I48" s="79">
        <f>IF(A48&lt;&gt;"",A48/B48*2,"")</f>
        <v>2</v>
      </c>
      <c r="J48" s="219"/>
      <c r="K48" s="134" t="str">
        <f>IF(J48="","",I48)</f>
        <v/>
      </c>
      <c r="L48" s="219"/>
      <c r="M48" s="91" t="str">
        <f>IF(L48="","",I48)</f>
        <v/>
      </c>
      <c r="N48" s="161" t="str">
        <f>IF(AND(M48&lt;&gt;"",E48&gt;=0),E48,"")</f>
        <v/>
      </c>
    </row>
    <row r="49" spans="1:14" x14ac:dyDescent="0.25">
      <c r="A49" s="115"/>
      <c r="B49" s="115"/>
      <c r="C49" s="116"/>
      <c r="D49" s="116"/>
      <c r="E49" s="116"/>
      <c r="F49" s="104" t="str">
        <f t="shared" si="4"/>
        <v>5.4</v>
      </c>
      <c r="G49" s="135" t="str">
        <f>"odd. B "&amp;F49</f>
        <v>odd. B 5.4</v>
      </c>
      <c r="H49" s="221" t="s">
        <v>18</v>
      </c>
      <c r="I49" s="137"/>
      <c r="J49" s="137"/>
      <c r="K49" s="138"/>
      <c r="L49" s="137"/>
      <c r="M49" s="138"/>
      <c r="N49" s="139"/>
    </row>
    <row r="50" spans="1:14" x14ac:dyDescent="0.25">
      <c r="A50" s="119"/>
      <c r="B50" s="119"/>
      <c r="C50" s="119"/>
      <c r="D50" s="119"/>
      <c r="E50" s="119"/>
      <c r="F50" s="104" t="str">
        <f t="shared" si="4"/>
        <v>5.4</v>
      </c>
      <c r="G50" s="140"/>
      <c r="H50" s="424"/>
      <c r="I50" s="425"/>
      <c r="J50" s="425"/>
      <c r="K50" s="425"/>
      <c r="L50" s="425"/>
      <c r="M50" s="425"/>
      <c r="N50" s="426"/>
    </row>
    <row r="51" spans="1:14" x14ac:dyDescent="0.25">
      <c r="A51" s="16"/>
      <c r="B51" s="16"/>
      <c r="C51" s="100"/>
      <c r="D51" s="100"/>
      <c r="E51" s="100"/>
      <c r="F51" s="104" t="str">
        <f t="shared" si="4"/>
        <v>5.4</v>
      </c>
      <c r="G51" s="151" t="str">
        <f>"odd. C "&amp;F51</f>
        <v>odd. C 5.4</v>
      </c>
      <c r="H51" s="152" t="s">
        <v>19</v>
      </c>
      <c r="I51" s="153"/>
      <c r="J51" s="153"/>
      <c r="K51" s="154"/>
      <c r="L51" s="153"/>
      <c r="M51" s="154"/>
      <c r="N51" s="155"/>
    </row>
    <row r="52" spans="1:14" ht="15.75" thickBot="1" x14ac:dyDescent="0.3">
      <c r="A52" s="117"/>
      <c r="B52" s="117"/>
      <c r="C52" s="117"/>
      <c r="D52" s="117"/>
      <c r="E52" s="117"/>
      <c r="F52" s="104" t="str">
        <f t="shared" si="4"/>
        <v>5.4</v>
      </c>
      <c r="G52" s="156"/>
      <c r="H52" s="427"/>
      <c r="I52" s="428"/>
      <c r="J52" s="428"/>
      <c r="K52" s="428"/>
      <c r="L52" s="428"/>
      <c r="M52" s="428"/>
      <c r="N52" s="429"/>
    </row>
    <row r="53" spans="1:14" collapsed="1" x14ac:dyDescent="0.25">
      <c r="A53" s="72"/>
      <c r="B53" s="72"/>
      <c r="C53" s="96"/>
      <c r="D53" s="96"/>
      <c r="E53" s="96"/>
      <c r="F53" s="105">
        <v>5</v>
      </c>
      <c r="G53" s="13" t="s">
        <v>17</v>
      </c>
      <c r="H53" s="3" t="s">
        <v>173</v>
      </c>
      <c r="I53" s="7"/>
      <c r="J53" s="162" t="str">
        <f>$J$5</f>
        <v>současný stav</v>
      </c>
      <c r="K53" s="130" t="str">
        <f>$K$5</f>
        <v>současný stav</v>
      </c>
      <c r="L53" s="162" t="str">
        <f>$L$5</f>
        <v>plánovaný stav</v>
      </c>
      <c r="M53" s="86" t="str">
        <f>$M$5</f>
        <v>plánovaný stav</v>
      </c>
      <c r="N53" s="157" t="str">
        <f>$N$5</f>
        <v>pokrok</v>
      </c>
    </row>
    <row r="54" spans="1:14" x14ac:dyDescent="0.25">
      <c r="A54" s="73"/>
      <c r="B54" s="73"/>
      <c r="C54" s="97"/>
      <c r="D54" s="97"/>
      <c r="E54" s="97"/>
      <c r="F54" s="108" t="str">
        <f>G54</f>
        <v>5.5</v>
      </c>
      <c r="G54" s="70" t="str">
        <f>$G$2&amp;F53</f>
        <v>5.5</v>
      </c>
      <c r="H54" s="4" t="s">
        <v>174</v>
      </c>
      <c r="I54" s="12"/>
      <c r="J54" s="163" t="str">
        <f>$J$6</f>
        <v>výběr úrovně</v>
      </c>
      <c r="K54" s="131" t="str">
        <f>$K$6</f>
        <v>bodové hodnocení</v>
      </c>
      <c r="L54" s="163" t="str">
        <f>$L$6</f>
        <v>výběr úrovně</v>
      </c>
      <c r="M54" s="88" t="str">
        <f>$M$6</f>
        <v>bodové hodnocení</v>
      </c>
      <c r="N54" s="158" t="str">
        <f>$N$6</f>
        <v>bodové hodnocení</v>
      </c>
    </row>
    <row r="55" spans="1:14" ht="15.75" thickBot="1" x14ac:dyDescent="0.3">
      <c r="A55" s="74"/>
      <c r="B55" s="74"/>
      <c r="C55" s="101"/>
      <c r="D55" s="101"/>
      <c r="E55" s="101"/>
      <c r="F55" s="104" t="str">
        <f t="shared" ref="F55:F63" si="7">F54</f>
        <v>5.5</v>
      </c>
      <c r="G55" s="14"/>
      <c r="H55" s="15"/>
      <c r="I55" s="8"/>
      <c r="J55" s="164"/>
      <c r="K55" s="132" t="str">
        <f>$K$7</f>
        <v>B</v>
      </c>
      <c r="L55" s="164"/>
      <c r="M55" s="89"/>
      <c r="N55" s="159" t="str">
        <f>$N$7</f>
        <v>C</v>
      </c>
    </row>
    <row r="56" spans="1:14" x14ac:dyDescent="0.25">
      <c r="A56" s="69">
        <f>IF(G56="a.",0,IF(G56="b.",1,IF(G56="c.",2,IF(G56="d.",3,IF(G56="e.",4,IF(G56="f.",5,IF(G56="g.",6,IF(G56="h.",7,IF(G56="i.",8,IF(G56="j.",9,""))))))))))</f>
        <v>0</v>
      </c>
      <c r="B56" s="103">
        <f>MAX(A56:A60)</f>
        <v>3</v>
      </c>
      <c r="C56" s="98">
        <f>SUM(K56:K60)</f>
        <v>0.66666666666666663</v>
      </c>
      <c r="D56" s="98">
        <f>SUM(M56:M60)</f>
        <v>0.66666666666666663</v>
      </c>
      <c r="E56" s="98">
        <f>D56-C56</f>
        <v>0</v>
      </c>
      <c r="F56" s="104" t="str">
        <f t="shared" si="7"/>
        <v>5.5</v>
      </c>
      <c r="G56" s="2" t="s">
        <v>6</v>
      </c>
      <c r="H56" s="1" t="s">
        <v>7</v>
      </c>
      <c r="I56" s="79">
        <f>IF(A56&lt;&gt;"",A56/B56*2,"")</f>
        <v>0</v>
      </c>
      <c r="J56" s="218"/>
      <c r="K56" s="133" t="str">
        <f>IF(J56="","",I56)</f>
        <v/>
      </c>
      <c r="L56" s="218"/>
      <c r="M56" s="90" t="str">
        <f>IF(L56="","",I56)</f>
        <v/>
      </c>
      <c r="N56" s="160" t="str">
        <f>IF(AND(M56&lt;&gt;"",E56&gt;=0),E56,"")</f>
        <v/>
      </c>
    </row>
    <row r="57" spans="1:14" x14ac:dyDescent="0.25">
      <c r="A57" s="69">
        <f>IF(G57="a.",0,IF(G57="b.",1,IF(G57="c.",2,IF(G57="d.",3,IF(G57="e.",4,IF(G57="f.",5,IF(G57="g.",6,IF(G57="h.",7,IF(G57="i.",8,IF(G57="j.",9,""))))))))))</f>
        <v>1</v>
      </c>
      <c r="B57" s="99">
        <f t="shared" ref="B57" si="8">B56</f>
        <v>3</v>
      </c>
      <c r="C57" s="93"/>
      <c r="D57" s="93"/>
      <c r="E57" s="99">
        <f>E56</f>
        <v>0</v>
      </c>
      <c r="F57" s="104" t="str">
        <f t="shared" si="7"/>
        <v>5.5</v>
      </c>
      <c r="G57" s="2" t="s">
        <v>8</v>
      </c>
      <c r="H57" s="1" t="s">
        <v>171</v>
      </c>
      <c r="I57" s="79">
        <f>IF(A57&lt;&gt;"",A57/B57*2,"")</f>
        <v>0.66666666666666663</v>
      </c>
      <c r="J57" s="219" t="s">
        <v>298</v>
      </c>
      <c r="K57" s="134">
        <f>IF(J57="","",I57)</f>
        <v>0.66666666666666663</v>
      </c>
      <c r="L57" s="219" t="s">
        <v>298</v>
      </c>
      <c r="M57" s="91">
        <f>IF(L57="","",I57)</f>
        <v>0.66666666666666663</v>
      </c>
      <c r="N57" s="161">
        <f>IF(AND(M57&lt;&gt;"",E57&gt;=0),E57,"")</f>
        <v>0</v>
      </c>
    </row>
    <row r="58" spans="1:14" x14ac:dyDescent="0.25">
      <c r="A58" s="69">
        <f>IF(G58="a.",0,IF(G58="b.",1,IF(G58="c.",2,IF(G58="d.",3,IF(G58="e.",4,IF(G58="f.",5,IF(G58="g.",6,IF(G58="h.",7,IF(G58="i.",8,IF(G58="j.",9,""))))))))))</f>
        <v>2</v>
      </c>
      <c r="B58" s="99">
        <f>B56</f>
        <v>3</v>
      </c>
      <c r="C58" s="93"/>
      <c r="D58" s="93"/>
      <c r="E58" s="99">
        <f>E56</f>
        <v>0</v>
      </c>
      <c r="F58" s="104" t="str">
        <f t="shared" si="7"/>
        <v>5.5</v>
      </c>
      <c r="G58" s="2" t="s">
        <v>10</v>
      </c>
      <c r="H58" s="1" t="s">
        <v>172</v>
      </c>
      <c r="I58" s="79">
        <f>IF(A58&lt;&gt;"",A58/B58*2,"")</f>
        <v>1.3333333333333333</v>
      </c>
      <c r="J58" s="219"/>
      <c r="K58" s="134" t="str">
        <f>IF(J58="","",I58)</f>
        <v/>
      </c>
      <c r="L58" s="219"/>
      <c r="M58" s="91" t="str">
        <f>IF(L58="","",I58)</f>
        <v/>
      </c>
      <c r="N58" s="161" t="str">
        <f>IF(AND(M58&lt;&gt;"",E58&gt;=0),E58,"")</f>
        <v/>
      </c>
    </row>
    <row r="59" spans="1:14" x14ac:dyDescent="0.25">
      <c r="A59" s="69">
        <f>IF(G59="a.",0,IF(G59="b.",1,IF(G59="c.",2,IF(G59="d.",3,IF(G59="e.",4,IF(G59="f.",5,IF(G59="g.",6,IF(G59="h.",7,IF(G59="i.",8,IF(G59="j.",9,""))))))))))</f>
        <v>3</v>
      </c>
      <c r="B59" s="99">
        <f>B57</f>
        <v>3</v>
      </c>
      <c r="C59" s="93"/>
      <c r="D59" s="93"/>
      <c r="E59" s="99">
        <f>E57</f>
        <v>0</v>
      </c>
      <c r="F59" s="104" t="str">
        <f t="shared" si="7"/>
        <v>5.5</v>
      </c>
      <c r="G59" s="2" t="s">
        <v>68</v>
      </c>
      <c r="H59" s="1" t="s">
        <v>166</v>
      </c>
      <c r="I59" s="79">
        <f>IF(A59&lt;&gt;"",A59/B59*2,"")</f>
        <v>2</v>
      </c>
      <c r="J59" s="219"/>
      <c r="K59" s="134" t="str">
        <f>IF(J59="","",I59)</f>
        <v/>
      </c>
      <c r="L59" s="219"/>
      <c r="M59" s="91" t="str">
        <f>IF(L59="","",I59)</f>
        <v/>
      </c>
      <c r="N59" s="161" t="str">
        <f>IF(AND(M59&lt;&gt;"",E59&gt;=0),E59,"")</f>
        <v/>
      </c>
    </row>
    <row r="60" spans="1:14" x14ac:dyDescent="0.25">
      <c r="A60" s="115"/>
      <c r="B60" s="115"/>
      <c r="C60" s="116"/>
      <c r="D60" s="116"/>
      <c r="E60" s="116"/>
      <c r="F60" s="104" t="str">
        <f t="shared" si="7"/>
        <v>5.5</v>
      </c>
      <c r="G60" s="135" t="str">
        <f>"odd. B "&amp;F60</f>
        <v>odd. B 5.5</v>
      </c>
      <c r="H60" s="136" t="s">
        <v>18</v>
      </c>
      <c r="I60" s="137"/>
      <c r="J60" s="137"/>
      <c r="K60" s="138"/>
      <c r="L60" s="137"/>
      <c r="M60" s="138"/>
      <c r="N60" s="139"/>
    </row>
    <row r="61" spans="1:14" x14ac:dyDescent="0.25">
      <c r="A61" s="119"/>
      <c r="B61" s="119"/>
      <c r="C61" s="119"/>
      <c r="D61" s="119"/>
      <c r="E61" s="119"/>
      <c r="F61" s="104" t="str">
        <f t="shared" si="7"/>
        <v>5.5</v>
      </c>
      <c r="G61" s="140"/>
      <c r="H61" s="424"/>
      <c r="I61" s="425"/>
      <c r="J61" s="425"/>
      <c r="K61" s="425"/>
      <c r="L61" s="425"/>
      <c r="M61" s="425"/>
      <c r="N61" s="426"/>
    </row>
    <row r="62" spans="1:14" x14ac:dyDescent="0.25">
      <c r="A62" s="16"/>
      <c r="B62" s="16"/>
      <c r="C62" s="100"/>
      <c r="D62" s="100"/>
      <c r="E62" s="100"/>
      <c r="F62" s="104" t="str">
        <f t="shared" si="7"/>
        <v>5.5</v>
      </c>
      <c r="G62" s="151" t="str">
        <f>"odd. C "&amp;F62</f>
        <v>odd. C 5.5</v>
      </c>
      <c r="H62" s="152" t="s">
        <v>19</v>
      </c>
      <c r="I62" s="153"/>
      <c r="J62" s="153"/>
      <c r="K62" s="154"/>
      <c r="L62" s="153"/>
      <c r="M62" s="154"/>
      <c r="N62" s="155"/>
    </row>
    <row r="63" spans="1:14" ht="15.75" thickBot="1" x14ac:dyDescent="0.3">
      <c r="A63" s="117"/>
      <c r="B63" s="117"/>
      <c r="C63" s="117"/>
      <c r="D63" s="117"/>
      <c r="E63" s="117"/>
      <c r="F63" s="104" t="str">
        <f t="shared" si="7"/>
        <v>5.5</v>
      </c>
      <c r="G63" s="156"/>
      <c r="H63" s="427"/>
      <c r="I63" s="428"/>
      <c r="J63" s="428"/>
      <c r="K63" s="428"/>
      <c r="L63" s="428"/>
      <c r="M63" s="428"/>
      <c r="N63" s="429"/>
    </row>
    <row r="64" spans="1:14" collapsed="1" x14ac:dyDescent="0.25">
      <c r="A64" s="72"/>
      <c r="B64" s="72"/>
      <c r="C64" s="96"/>
      <c r="D64" s="96"/>
      <c r="E64" s="96"/>
      <c r="F64" s="105">
        <v>6</v>
      </c>
      <c r="G64" s="13" t="s">
        <v>17</v>
      </c>
      <c r="H64" s="3" t="s">
        <v>175</v>
      </c>
      <c r="I64" s="7"/>
      <c r="J64" s="162" t="str">
        <f>$J$5</f>
        <v>současný stav</v>
      </c>
      <c r="K64" s="130" t="str">
        <f>$K$5</f>
        <v>současný stav</v>
      </c>
      <c r="L64" s="162" t="str">
        <f>$L$5</f>
        <v>plánovaný stav</v>
      </c>
      <c r="M64" s="86" t="str">
        <f>$M$5</f>
        <v>plánovaný stav</v>
      </c>
      <c r="N64" s="157" t="str">
        <f>$N$5</f>
        <v>pokrok</v>
      </c>
    </row>
    <row r="65" spans="1:14" x14ac:dyDescent="0.25">
      <c r="A65" s="73"/>
      <c r="B65" s="73"/>
      <c r="C65" s="97"/>
      <c r="D65" s="97"/>
      <c r="E65" s="97"/>
      <c r="F65" s="108" t="str">
        <f>G65</f>
        <v>5.6</v>
      </c>
      <c r="G65" s="70" t="str">
        <f>$G$2&amp;F64</f>
        <v>5.6</v>
      </c>
      <c r="H65" s="4" t="s">
        <v>176</v>
      </c>
      <c r="I65" s="12"/>
      <c r="J65" s="163" t="str">
        <f>$J$6</f>
        <v>výběr úrovně</v>
      </c>
      <c r="K65" s="131" t="str">
        <f>$K$6</f>
        <v>bodové hodnocení</v>
      </c>
      <c r="L65" s="163" t="str">
        <f>$L$6</f>
        <v>výběr úrovně</v>
      </c>
      <c r="M65" s="88" t="str">
        <f>$M$6</f>
        <v>bodové hodnocení</v>
      </c>
      <c r="N65" s="158" t="str">
        <f>$N$6</f>
        <v>bodové hodnocení</v>
      </c>
    </row>
    <row r="66" spans="1:14" ht="15.75" thickBot="1" x14ac:dyDescent="0.3">
      <c r="A66" s="74"/>
      <c r="B66" s="74"/>
      <c r="C66" s="101"/>
      <c r="D66" s="101"/>
      <c r="E66" s="101"/>
      <c r="F66" s="104" t="str">
        <f t="shared" ref="F66:F74" si="9">F65</f>
        <v>5.6</v>
      </c>
      <c r="G66" s="14"/>
      <c r="H66" s="15"/>
      <c r="I66" s="8"/>
      <c r="J66" s="164"/>
      <c r="K66" s="132" t="str">
        <f>$K$7</f>
        <v>B</v>
      </c>
      <c r="L66" s="164"/>
      <c r="M66" s="89"/>
      <c r="N66" s="159" t="str">
        <f>$N$7</f>
        <v>C</v>
      </c>
    </row>
    <row r="67" spans="1:14" x14ac:dyDescent="0.25">
      <c r="A67" s="69">
        <f>IF(G67="a.",0,IF(G67="b.",1,IF(G67="c.",2,IF(G67="d.",3,IF(G67="e.",4,IF(G67="f.",5,IF(G67="g.",6,IF(G67="h.",7,IF(G67="i.",8,IF(G67="j.",9,""))))))))))</f>
        <v>0</v>
      </c>
      <c r="B67" s="103">
        <f>MAX(A67:A71)</f>
        <v>3</v>
      </c>
      <c r="C67" s="98">
        <f>SUM(K67:K71)</f>
        <v>0.66666666666666663</v>
      </c>
      <c r="D67" s="98">
        <f>SUM(M67:M71)</f>
        <v>0.66666666666666663</v>
      </c>
      <c r="E67" s="98">
        <f>D67-C67</f>
        <v>0</v>
      </c>
      <c r="F67" s="104" t="str">
        <f t="shared" si="9"/>
        <v>5.6</v>
      </c>
      <c r="G67" s="2" t="s">
        <v>6</v>
      </c>
      <c r="H67" s="1" t="s">
        <v>177</v>
      </c>
      <c r="I67" s="79">
        <f>IF(A67&lt;&gt;"",A67/B67*2,"")</f>
        <v>0</v>
      </c>
      <c r="J67" s="218"/>
      <c r="K67" s="133" t="str">
        <f>IF(J67="","",I67)</f>
        <v/>
      </c>
      <c r="L67" s="218"/>
      <c r="M67" s="90" t="str">
        <f>IF(L67="","",I67)</f>
        <v/>
      </c>
      <c r="N67" s="160" t="str">
        <f>IF(AND(M67&lt;&gt;"",E67&gt;=0),E67,"")</f>
        <v/>
      </c>
    </row>
    <row r="68" spans="1:14" x14ac:dyDescent="0.25">
      <c r="A68" s="69">
        <f>IF(G68="a.",0,IF(G68="b.",1,IF(G68="c.",2,IF(G68="d.",3,IF(G68="e.",4,IF(G68="f.",5,IF(G68="g.",6,IF(G68="h.",7,IF(G68="i.",8,IF(G68="j.",9,""))))))))))</f>
        <v>1</v>
      </c>
      <c r="B68" s="99">
        <f t="shared" ref="B68" si="10">B67</f>
        <v>3</v>
      </c>
      <c r="C68" s="93"/>
      <c r="D68" s="93"/>
      <c r="E68" s="99">
        <f>E67</f>
        <v>0</v>
      </c>
      <c r="F68" s="104" t="str">
        <f t="shared" si="9"/>
        <v>5.6</v>
      </c>
      <c r="G68" s="2" t="s">
        <v>8</v>
      </c>
      <c r="H68" s="1" t="s">
        <v>178</v>
      </c>
      <c r="I68" s="79">
        <f>IF(A68&lt;&gt;"",A68/B68*2,"")</f>
        <v>0.66666666666666663</v>
      </c>
      <c r="J68" s="219" t="s">
        <v>298</v>
      </c>
      <c r="K68" s="134">
        <f>IF(J68="","",I68)</f>
        <v>0.66666666666666663</v>
      </c>
      <c r="L68" s="219" t="s">
        <v>298</v>
      </c>
      <c r="M68" s="91">
        <f>IF(L68="","",I68)</f>
        <v>0.66666666666666663</v>
      </c>
      <c r="N68" s="161">
        <f>IF(AND(M68&lt;&gt;"",E68&gt;=0),E68,"")</f>
        <v>0</v>
      </c>
    </row>
    <row r="69" spans="1:14" x14ac:dyDescent="0.25">
      <c r="A69" s="69">
        <f>IF(G69="a.",0,IF(G69="b.",1,IF(G69="c.",2,IF(G69="d.",3,IF(G69="e.",4,IF(G69="f.",5,IF(G69="g.",6,IF(G69="h.",7,IF(G69="i.",8,IF(G69="j.",9,""))))))))))</f>
        <v>2</v>
      </c>
      <c r="B69" s="99">
        <f>B67</f>
        <v>3</v>
      </c>
      <c r="C69" s="93"/>
      <c r="D69" s="93"/>
      <c r="E69" s="99">
        <f>E67</f>
        <v>0</v>
      </c>
      <c r="F69" s="104" t="str">
        <f t="shared" si="9"/>
        <v>5.6</v>
      </c>
      <c r="G69" s="2" t="s">
        <v>10</v>
      </c>
      <c r="H69" s="1" t="s">
        <v>179</v>
      </c>
      <c r="I69" s="79">
        <f>IF(A69&lt;&gt;"",A69/B69*2,"")</f>
        <v>1.3333333333333333</v>
      </c>
      <c r="J69" s="219"/>
      <c r="K69" s="134" t="str">
        <f>IF(J69="","",I69)</f>
        <v/>
      </c>
      <c r="L69" s="219"/>
      <c r="M69" s="91" t="str">
        <f>IF(L69="","",I69)</f>
        <v/>
      </c>
      <c r="N69" s="161" t="str">
        <f>IF(AND(M69&lt;&gt;"",E69&gt;=0),E69,"")</f>
        <v/>
      </c>
    </row>
    <row r="70" spans="1:14" x14ac:dyDescent="0.25">
      <c r="A70" s="69">
        <f>IF(G70="a.",0,IF(G70="b.",1,IF(G70="c.",2,IF(G70="d.",3,IF(G70="e.",4,IF(G70="f.",5,IF(G70="g.",6,IF(G70="h.",7,IF(G70="i.",8,IF(G70="j.",9,""))))))))))</f>
        <v>3</v>
      </c>
      <c r="B70" s="99">
        <f>B68</f>
        <v>3</v>
      </c>
      <c r="C70" s="93"/>
      <c r="D70" s="93"/>
      <c r="E70" s="99">
        <f>E68</f>
        <v>0</v>
      </c>
      <c r="F70" s="104" t="str">
        <f t="shared" si="9"/>
        <v>5.6</v>
      </c>
      <c r="G70" s="2" t="s">
        <v>68</v>
      </c>
      <c r="H70" s="1" t="s">
        <v>180</v>
      </c>
      <c r="I70" s="79">
        <f>IF(A70&lt;&gt;"",A70/B70*2,"")</f>
        <v>2</v>
      </c>
      <c r="J70" s="219"/>
      <c r="K70" s="134" t="str">
        <f>IF(J70="","",I70)</f>
        <v/>
      </c>
      <c r="L70" s="219"/>
      <c r="M70" s="91" t="str">
        <f>IF(L70="","",I70)</f>
        <v/>
      </c>
      <c r="N70" s="161" t="str">
        <f>IF(AND(M70&lt;&gt;"",E70&gt;=0),E70,"")</f>
        <v/>
      </c>
    </row>
    <row r="71" spans="1:14" x14ac:dyDescent="0.25">
      <c r="A71" s="115"/>
      <c r="B71" s="115"/>
      <c r="C71" s="116"/>
      <c r="D71" s="116"/>
      <c r="E71" s="116"/>
      <c r="F71" s="104" t="str">
        <f t="shared" si="9"/>
        <v>5.6</v>
      </c>
      <c r="G71" s="135" t="str">
        <f>"odd. B "&amp;F71</f>
        <v>odd. B 5.6</v>
      </c>
      <c r="H71" s="136" t="s">
        <v>18</v>
      </c>
      <c r="I71" s="137"/>
      <c r="J71" s="137"/>
      <c r="K71" s="138"/>
      <c r="L71" s="137"/>
      <c r="M71" s="138"/>
      <c r="N71" s="139"/>
    </row>
    <row r="72" spans="1:14" x14ac:dyDescent="0.25">
      <c r="A72" s="119"/>
      <c r="B72" s="119"/>
      <c r="C72" s="119"/>
      <c r="D72" s="119"/>
      <c r="E72" s="119"/>
      <c r="F72" s="104" t="str">
        <f t="shared" si="9"/>
        <v>5.6</v>
      </c>
      <c r="G72" s="140"/>
      <c r="H72" s="424"/>
      <c r="I72" s="425"/>
      <c r="J72" s="425"/>
      <c r="K72" s="425"/>
      <c r="L72" s="425"/>
      <c r="M72" s="425"/>
      <c r="N72" s="426"/>
    </row>
    <row r="73" spans="1:14" x14ac:dyDescent="0.25">
      <c r="A73" s="16"/>
      <c r="B73" s="16"/>
      <c r="C73" s="100"/>
      <c r="D73" s="100"/>
      <c r="E73" s="100"/>
      <c r="F73" s="104" t="str">
        <f t="shared" si="9"/>
        <v>5.6</v>
      </c>
      <c r="G73" s="151" t="str">
        <f>"odd. C "&amp;F73</f>
        <v>odd. C 5.6</v>
      </c>
      <c r="H73" s="152" t="s">
        <v>19</v>
      </c>
      <c r="I73" s="153"/>
      <c r="J73" s="153"/>
      <c r="K73" s="154"/>
      <c r="L73" s="153"/>
      <c r="M73" s="154"/>
      <c r="N73" s="155"/>
    </row>
    <row r="74" spans="1:14" ht="15.75" thickBot="1" x14ac:dyDescent="0.3">
      <c r="A74" s="117"/>
      <c r="B74" s="117"/>
      <c r="C74" s="117"/>
      <c r="D74" s="117"/>
      <c r="E74" s="117"/>
      <c r="F74" s="104" t="str">
        <f t="shared" si="9"/>
        <v>5.6</v>
      </c>
      <c r="G74" s="156"/>
      <c r="H74" s="427"/>
      <c r="I74" s="428"/>
      <c r="J74" s="428"/>
      <c r="K74" s="428"/>
      <c r="L74" s="428"/>
      <c r="M74" s="428"/>
      <c r="N74" s="429"/>
    </row>
    <row r="75" spans="1:14" collapsed="1" x14ac:dyDescent="0.25">
      <c r="A75" s="72"/>
      <c r="B75" s="72"/>
      <c r="C75" s="96"/>
      <c r="D75" s="96"/>
      <c r="E75" s="96"/>
      <c r="F75" s="105">
        <v>7</v>
      </c>
      <c r="G75" s="13" t="s">
        <v>17</v>
      </c>
      <c r="H75" s="3" t="s">
        <v>181</v>
      </c>
      <c r="I75" s="7"/>
      <c r="J75" s="162" t="str">
        <f>$J$5</f>
        <v>současný stav</v>
      </c>
      <c r="K75" s="130" t="str">
        <f>$K$5</f>
        <v>současný stav</v>
      </c>
      <c r="L75" s="162" t="str">
        <f>$L$5</f>
        <v>plánovaný stav</v>
      </c>
      <c r="M75" s="86" t="str">
        <f>$M$5</f>
        <v>plánovaný stav</v>
      </c>
      <c r="N75" s="157" t="str">
        <f>$N$5</f>
        <v>pokrok</v>
      </c>
    </row>
    <row r="76" spans="1:14" x14ac:dyDescent="0.25">
      <c r="A76" s="73"/>
      <c r="B76" s="73"/>
      <c r="C76" s="97"/>
      <c r="D76" s="97"/>
      <c r="E76" s="97"/>
      <c r="F76" s="108" t="str">
        <f>G76</f>
        <v>5.7</v>
      </c>
      <c r="G76" s="70" t="str">
        <f>$G$2&amp;F75</f>
        <v>5.7</v>
      </c>
      <c r="H76" s="4" t="s">
        <v>182</v>
      </c>
      <c r="I76" s="12"/>
      <c r="J76" s="163" t="str">
        <f>$J$6</f>
        <v>výběr úrovně</v>
      </c>
      <c r="K76" s="131" t="str">
        <f>$K$6</f>
        <v>bodové hodnocení</v>
      </c>
      <c r="L76" s="163" t="str">
        <f>$L$6</f>
        <v>výběr úrovně</v>
      </c>
      <c r="M76" s="88" t="str">
        <f>$M$6</f>
        <v>bodové hodnocení</v>
      </c>
      <c r="N76" s="158" t="str">
        <f>$N$6</f>
        <v>bodové hodnocení</v>
      </c>
    </row>
    <row r="77" spans="1:14" ht="15.75" thickBot="1" x14ac:dyDescent="0.3">
      <c r="A77" s="74"/>
      <c r="B77" s="74"/>
      <c r="C77" s="101"/>
      <c r="D77" s="101"/>
      <c r="E77" s="101"/>
      <c r="F77" s="104" t="str">
        <f t="shared" ref="F77:F86" si="11">F76</f>
        <v>5.7</v>
      </c>
      <c r="G77" s="14"/>
      <c r="H77" s="15"/>
      <c r="I77" s="8"/>
      <c r="J77" s="164"/>
      <c r="K77" s="132" t="str">
        <f>$K$7</f>
        <v>B</v>
      </c>
      <c r="L77" s="164"/>
      <c r="M77" s="89"/>
      <c r="N77" s="159" t="str">
        <f>$N$7</f>
        <v>C</v>
      </c>
    </row>
    <row r="78" spans="1:14" x14ac:dyDescent="0.25">
      <c r="A78" s="69">
        <f>IF(G78="a.",0,IF(G78="b.",1,IF(G78="c.",2,IF(G78="d.",3,IF(G78="e.",4,IF(G78="f.",5,IF(G78="g.",6,IF(G78="h.",7,IF(G78="i.",8,IF(G78="j.",9,""))))))))))</f>
        <v>0</v>
      </c>
      <c r="B78" s="103">
        <f>MAX(A78:A83)</f>
        <v>4</v>
      </c>
      <c r="C78" s="98">
        <f>SUM(K78:K83)</f>
        <v>0.5</v>
      </c>
      <c r="D78" s="98">
        <f>SUM(M78:M83)</f>
        <v>1.5</v>
      </c>
      <c r="E78" s="98">
        <f>D78-C78</f>
        <v>1</v>
      </c>
      <c r="F78" s="104" t="str">
        <f t="shared" si="11"/>
        <v>5.7</v>
      </c>
      <c r="G78" s="2" t="s">
        <v>6</v>
      </c>
      <c r="H78" s="1" t="s">
        <v>140</v>
      </c>
      <c r="I78" s="79">
        <f>IF(A78&lt;&gt;"",A78/B78*2,"")</f>
        <v>0</v>
      </c>
      <c r="J78" s="218"/>
      <c r="K78" s="133" t="str">
        <f>IF(J78="","",I78)</f>
        <v/>
      </c>
      <c r="L78" s="218"/>
      <c r="M78" s="90" t="str">
        <f>IF(L78="","",I78)</f>
        <v/>
      </c>
      <c r="N78" s="160" t="str">
        <f>IF(AND(M78&lt;&gt;"",E78&gt;=0),E78,"")</f>
        <v/>
      </c>
    </row>
    <row r="79" spans="1:14" x14ac:dyDescent="0.25">
      <c r="A79" s="69">
        <f>IF(G79="a.",0,IF(G79="b.",1,IF(G79="c.",2,IF(G79="d.",3,IF(G79="e.",4,IF(G79="f.",5,IF(G79="g.",6,IF(G79="h.",7,IF(G79="i.",8,IF(G79="j.",9,""))))))))))</f>
        <v>1</v>
      </c>
      <c r="B79" s="99">
        <f t="shared" ref="B79:B82" si="12">B78</f>
        <v>4</v>
      </c>
      <c r="C79" s="93"/>
      <c r="D79" s="93"/>
      <c r="E79" s="99">
        <f>E78</f>
        <v>1</v>
      </c>
      <c r="F79" s="104" t="str">
        <f t="shared" si="11"/>
        <v>5.7</v>
      </c>
      <c r="G79" s="2" t="s">
        <v>8</v>
      </c>
      <c r="H79" s="1" t="s">
        <v>183</v>
      </c>
      <c r="I79" s="79">
        <f>IF(A79&lt;&gt;"",A79/B79*2,"")</f>
        <v>0.5</v>
      </c>
      <c r="J79" s="219" t="s">
        <v>298</v>
      </c>
      <c r="K79" s="134">
        <f>IF(J79="","",I79)</f>
        <v>0.5</v>
      </c>
      <c r="L79" s="219"/>
      <c r="M79" s="91" t="str">
        <f>IF(L79="","",I79)</f>
        <v/>
      </c>
      <c r="N79" s="161" t="str">
        <f>IF(AND(M79&lt;&gt;"",E79&gt;=0),E79,"")</f>
        <v/>
      </c>
    </row>
    <row r="80" spans="1:14" x14ac:dyDescent="0.25">
      <c r="A80" s="69">
        <f>IF(G80="a.",0,IF(G80="b.",1,IF(G80="c.",2,IF(G80="d.",3,IF(G80="e.",4,IF(G80="f.",5,IF(G80="g.",6,IF(G80="h.",7,IF(G80="i.",8,IF(G80="j.",9,""))))))))))</f>
        <v>2</v>
      </c>
      <c r="B80" s="99">
        <f t="shared" si="12"/>
        <v>4</v>
      </c>
      <c r="C80" s="93"/>
      <c r="D80" s="93"/>
      <c r="E80" s="99">
        <f>E79</f>
        <v>1</v>
      </c>
      <c r="F80" s="104" t="str">
        <f t="shared" si="11"/>
        <v>5.7</v>
      </c>
      <c r="G80" s="2" t="s">
        <v>10</v>
      </c>
      <c r="H80" s="1" t="s">
        <v>184</v>
      </c>
      <c r="I80" s="79">
        <f>IF(A80&lt;&gt;"",A80/B80*2,"")</f>
        <v>1</v>
      </c>
      <c r="J80" s="219"/>
      <c r="K80" s="134" t="str">
        <f>IF(J80="","",I80)</f>
        <v/>
      </c>
      <c r="L80" s="219"/>
      <c r="M80" s="91" t="str">
        <f>IF(L80="","",I80)</f>
        <v/>
      </c>
      <c r="N80" s="161" t="str">
        <f>IF(AND(M80&lt;&gt;"",E80&gt;=0),E80,"")</f>
        <v/>
      </c>
    </row>
    <row r="81" spans="1:14" x14ac:dyDescent="0.25">
      <c r="A81" s="69">
        <f>IF(G81="a.",0,IF(G81="b.",1,IF(G81="c.",2,IF(G81="d.",3,IF(G81="e.",4,IF(G81="f.",5,IF(G81="g.",6,IF(G81="h.",7,IF(G81="i.",8,IF(G81="j.",9,""))))))))))</f>
        <v>3</v>
      </c>
      <c r="B81" s="99">
        <f t="shared" si="12"/>
        <v>4</v>
      </c>
      <c r="C81" s="93"/>
      <c r="D81" s="93"/>
      <c r="E81" s="99">
        <f>E80</f>
        <v>1</v>
      </c>
      <c r="F81" s="104" t="str">
        <f t="shared" si="11"/>
        <v>5.7</v>
      </c>
      <c r="G81" s="2" t="s">
        <v>68</v>
      </c>
      <c r="H81" s="1" t="s">
        <v>185</v>
      </c>
      <c r="I81" s="79">
        <f>IF(A81&lt;&gt;"",A81/B81*2,"")</f>
        <v>1.5</v>
      </c>
      <c r="J81" s="219"/>
      <c r="K81" s="134" t="str">
        <f>IF(J81="","",I81)</f>
        <v/>
      </c>
      <c r="L81" s="219" t="s">
        <v>298</v>
      </c>
      <c r="M81" s="91">
        <f>IF(L81="","",I81)</f>
        <v>1.5</v>
      </c>
      <c r="N81" s="161">
        <f>IF(AND(M81&lt;&gt;"",E81&gt;=0),E81,"")</f>
        <v>1</v>
      </c>
    </row>
    <row r="82" spans="1:14" x14ac:dyDescent="0.25">
      <c r="A82" s="69">
        <f>IF(G82="a.",0,IF(G82="b.",1,IF(G82="c.",2,IF(G82="d.",3,IF(G82="e.",4,IF(G82="f.",5,IF(G82="g.",6,IF(G82="h.",7,IF(G82="i.",8,IF(G82="j.",9,""))))))))))</f>
        <v>4</v>
      </c>
      <c r="B82" s="99">
        <f t="shared" si="12"/>
        <v>4</v>
      </c>
      <c r="C82" s="93"/>
      <c r="D82" s="93"/>
      <c r="E82" s="99">
        <f>E81</f>
        <v>1</v>
      </c>
      <c r="F82" s="104" t="str">
        <f t="shared" si="11"/>
        <v>5.7</v>
      </c>
      <c r="G82" s="2" t="s">
        <v>92</v>
      </c>
      <c r="H82" s="1" t="s">
        <v>186</v>
      </c>
      <c r="I82" s="79">
        <f>IF(A82&lt;&gt;"",A82/B82*2,"")</f>
        <v>2</v>
      </c>
      <c r="J82" s="219"/>
      <c r="K82" s="134" t="str">
        <f>IF(J82="","",I82)</f>
        <v/>
      </c>
      <c r="L82" s="219"/>
      <c r="M82" s="91" t="str">
        <f>IF(L82="","",I82)</f>
        <v/>
      </c>
      <c r="N82" s="161" t="str">
        <f>IF(AND(M82&lt;&gt;"",E82&gt;=0),E82,"")</f>
        <v/>
      </c>
    </row>
    <row r="83" spans="1:14" x14ac:dyDescent="0.25">
      <c r="A83" s="115"/>
      <c r="B83" s="115"/>
      <c r="C83" s="116"/>
      <c r="D83" s="116"/>
      <c r="E83" s="116"/>
      <c r="F83" s="104" t="str">
        <f t="shared" si="11"/>
        <v>5.7</v>
      </c>
      <c r="G83" s="135" t="str">
        <f>"odd. B "&amp;F83</f>
        <v>odd. B 5.7</v>
      </c>
      <c r="H83" s="136" t="s">
        <v>18</v>
      </c>
      <c r="I83" s="137"/>
      <c r="J83" s="137"/>
      <c r="K83" s="138"/>
      <c r="L83" s="137"/>
      <c r="M83" s="138"/>
      <c r="N83" s="139"/>
    </row>
    <row r="84" spans="1:14" x14ac:dyDescent="0.25">
      <c r="A84" s="119"/>
      <c r="B84" s="119"/>
      <c r="C84" s="119"/>
      <c r="D84" s="119"/>
      <c r="E84" s="119"/>
      <c r="F84" s="104" t="str">
        <f t="shared" si="11"/>
        <v>5.7</v>
      </c>
      <c r="G84" s="140"/>
      <c r="H84" s="424"/>
      <c r="I84" s="425"/>
      <c r="J84" s="425"/>
      <c r="K84" s="425"/>
      <c r="L84" s="425"/>
      <c r="M84" s="425"/>
      <c r="N84" s="426"/>
    </row>
    <row r="85" spans="1:14" x14ac:dyDescent="0.25">
      <c r="A85" s="16"/>
      <c r="B85" s="16"/>
      <c r="C85" s="100"/>
      <c r="D85" s="100"/>
      <c r="E85" s="100"/>
      <c r="F85" s="104" t="str">
        <f t="shared" si="11"/>
        <v>5.7</v>
      </c>
      <c r="G85" s="151" t="str">
        <f>"odd. C "&amp;F85</f>
        <v>odd. C 5.7</v>
      </c>
      <c r="H85" s="152" t="s">
        <v>19</v>
      </c>
      <c r="I85" s="153"/>
      <c r="J85" s="153"/>
      <c r="K85" s="154"/>
      <c r="L85" s="153"/>
      <c r="M85" s="154"/>
      <c r="N85" s="155"/>
    </row>
    <row r="86" spans="1:14" ht="15.75" thickBot="1" x14ac:dyDescent="0.3">
      <c r="A86" s="117"/>
      <c r="B86" s="117"/>
      <c r="C86" s="117"/>
      <c r="D86" s="117"/>
      <c r="E86" s="117"/>
      <c r="F86" s="104" t="str">
        <f t="shared" si="11"/>
        <v>5.7</v>
      </c>
      <c r="G86" s="156"/>
      <c r="H86" s="427"/>
      <c r="I86" s="428"/>
      <c r="J86" s="428"/>
      <c r="K86" s="428"/>
      <c r="L86" s="428"/>
      <c r="M86" s="428"/>
      <c r="N86" s="429"/>
    </row>
    <row r="87" spans="1:14" collapsed="1" x14ac:dyDescent="0.25">
      <c r="A87" s="72"/>
      <c r="B87" s="72"/>
      <c r="C87" s="96"/>
      <c r="D87" s="96"/>
      <c r="E87" s="96"/>
      <c r="F87" s="105">
        <v>8</v>
      </c>
      <c r="G87" s="13" t="s">
        <v>17</v>
      </c>
      <c r="H87" s="3" t="s">
        <v>187</v>
      </c>
      <c r="I87" s="7"/>
      <c r="J87" s="162" t="str">
        <f>$J$5</f>
        <v>současný stav</v>
      </c>
      <c r="K87" s="130" t="str">
        <f>$K$5</f>
        <v>současný stav</v>
      </c>
      <c r="L87" s="162" t="str">
        <f>$L$5</f>
        <v>plánovaný stav</v>
      </c>
      <c r="M87" s="86" t="str">
        <f>$M$5</f>
        <v>plánovaný stav</v>
      </c>
      <c r="N87" s="157" t="str">
        <f>$N$5</f>
        <v>pokrok</v>
      </c>
    </row>
    <row r="88" spans="1:14" ht="24" x14ac:dyDescent="0.25">
      <c r="A88" s="73"/>
      <c r="B88" s="73"/>
      <c r="C88" s="97"/>
      <c r="D88" s="97"/>
      <c r="E88" s="97"/>
      <c r="F88" s="108" t="str">
        <f>G88</f>
        <v>5.8</v>
      </c>
      <c r="G88" s="70" t="str">
        <f>$G$2&amp;F87</f>
        <v>5.8</v>
      </c>
      <c r="H88" s="4" t="s">
        <v>188</v>
      </c>
      <c r="I88" s="12"/>
      <c r="J88" s="163" t="str">
        <f>$J$6</f>
        <v>výběr úrovně</v>
      </c>
      <c r="K88" s="131" t="str">
        <f>$K$6</f>
        <v>bodové hodnocení</v>
      </c>
      <c r="L88" s="163" t="str">
        <f>$L$6</f>
        <v>výběr úrovně</v>
      </c>
      <c r="M88" s="88" t="str">
        <f>$M$6</f>
        <v>bodové hodnocení</v>
      </c>
      <c r="N88" s="158" t="str">
        <f>$N$6</f>
        <v>bodové hodnocení</v>
      </c>
    </row>
    <row r="89" spans="1:14" ht="15.75" thickBot="1" x14ac:dyDescent="0.3">
      <c r="A89" s="74"/>
      <c r="B89" s="74"/>
      <c r="C89" s="101"/>
      <c r="D89" s="101"/>
      <c r="E89" s="101"/>
      <c r="F89" s="104" t="str">
        <f t="shared" ref="F89:F96" si="13">F88</f>
        <v>5.8</v>
      </c>
      <c r="G89" s="14"/>
      <c r="H89" s="15"/>
      <c r="I89" s="8"/>
      <c r="J89" s="164"/>
      <c r="K89" s="132" t="str">
        <f>$K$7</f>
        <v>B</v>
      </c>
      <c r="L89" s="164"/>
      <c r="M89" s="89"/>
      <c r="N89" s="159" t="str">
        <f>$N$7</f>
        <v>C</v>
      </c>
    </row>
    <row r="90" spans="1:14" x14ac:dyDescent="0.25">
      <c r="A90" s="69">
        <f>IF(G90="a.",0,IF(G90="b.",1,IF(G90="c.",2,IF(G90="d.",3,IF(G90="e.",4,IF(G90="f.",5,IF(G90="g.",6,IF(G90="h.",7,IF(G90="i.",8,IF(G90="j.",9,""))))))))))</f>
        <v>0</v>
      </c>
      <c r="B90" s="103">
        <f>MAX(A90:A93)</f>
        <v>2</v>
      </c>
      <c r="C90" s="98">
        <f>SUM(K90:K93)</f>
        <v>1</v>
      </c>
      <c r="D90" s="98">
        <f>SUM(M90:M93)</f>
        <v>2</v>
      </c>
      <c r="E90" s="98">
        <f>D90-C90</f>
        <v>1</v>
      </c>
      <c r="F90" s="104" t="str">
        <f t="shared" si="13"/>
        <v>5.8</v>
      </c>
      <c r="G90" s="2" t="s">
        <v>6</v>
      </c>
      <c r="H90" s="1" t="s">
        <v>7</v>
      </c>
      <c r="I90" s="79">
        <f>IF(A90&lt;&gt;"",A90/B90*2,"")</f>
        <v>0</v>
      </c>
      <c r="J90" s="218"/>
      <c r="K90" s="133" t="str">
        <f>IF(J90="","",I90)</f>
        <v/>
      </c>
      <c r="L90" s="218"/>
      <c r="M90" s="90" t="str">
        <f>IF(L90="","",I90)</f>
        <v/>
      </c>
      <c r="N90" s="160" t="str">
        <f>IF(AND(M90&lt;&gt;"",E90&gt;=0),E90,"")</f>
        <v/>
      </c>
    </row>
    <row r="91" spans="1:14" x14ac:dyDescent="0.25">
      <c r="A91" s="69">
        <f>IF(G91="a.",0,IF(G91="b.",1,IF(G91="c.",2,IF(G91="d.",3,IF(G91="e.",4,IF(G91="f.",5,IF(G91="g.",6,IF(G91="h.",7,IF(G91="i.",8,IF(G91="j.",9,""))))))))))</f>
        <v>1</v>
      </c>
      <c r="B91" s="99">
        <f t="shared" ref="B91:B92" si="14">B90</f>
        <v>2</v>
      </c>
      <c r="C91" s="93"/>
      <c r="D91" s="93"/>
      <c r="E91" s="99">
        <f>E90</f>
        <v>1</v>
      </c>
      <c r="F91" s="104" t="str">
        <f t="shared" si="13"/>
        <v>5.8</v>
      </c>
      <c r="G91" s="2" t="s">
        <v>8</v>
      </c>
      <c r="H91" s="1" t="s">
        <v>189</v>
      </c>
      <c r="I91" s="79">
        <f>IF(A91&lt;&gt;"",A91/B91*2,"")</f>
        <v>1</v>
      </c>
      <c r="J91" s="219" t="s">
        <v>298</v>
      </c>
      <c r="K91" s="134">
        <f>IF(J91="","",I91)</f>
        <v>1</v>
      </c>
      <c r="L91" s="219"/>
      <c r="M91" s="91" t="str">
        <f>IF(L91="","",I91)</f>
        <v/>
      </c>
      <c r="N91" s="161" t="str">
        <f>IF(AND(M91&lt;&gt;"",E91&gt;=0),E91,"")</f>
        <v/>
      </c>
    </row>
    <row r="92" spans="1:14" x14ac:dyDescent="0.25">
      <c r="A92" s="69">
        <f>IF(G92="a.",0,IF(G92="b.",1,IF(G92="c.",2,IF(G92="d.",3,IF(G92="e.",4,IF(G92="f.",5,IF(G92="g.",6,IF(G92="h.",7,IF(G92="i.",8,IF(G92="j.",9,""))))))))))</f>
        <v>2</v>
      </c>
      <c r="B92" s="99">
        <f t="shared" si="14"/>
        <v>2</v>
      </c>
      <c r="C92" s="93"/>
      <c r="D92" s="93"/>
      <c r="E92" s="99">
        <f>E91</f>
        <v>1</v>
      </c>
      <c r="F92" s="104" t="str">
        <f t="shared" si="13"/>
        <v>5.8</v>
      </c>
      <c r="G92" s="2" t="s">
        <v>10</v>
      </c>
      <c r="H92" s="1" t="s">
        <v>190</v>
      </c>
      <c r="I92" s="79">
        <f>IF(A92&lt;&gt;"",A92/B92*2,"")</f>
        <v>2</v>
      </c>
      <c r="J92" s="219"/>
      <c r="K92" s="134" t="str">
        <f>IF(J92="","",I92)</f>
        <v/>
      </c>
      <c r="L92" s="219" t="s">
        <v>298</v>
      </c>
      <c r="M92" s="91">
        <f>IF(L92="","",I92)</f>
        <v>2</v>
      </c>
      <c r="N92" s="161">
        <f>IF(AND(M92&lt;&gt;"",E92&gt;=0),E92,"")</f>
        <v>1</v>
      </c>
    </row>
    <row r="93" spans="1:14" x14ac:dyDescent="0.25">
      <c r="A93" s="115"/>
      <c r="B93" s="115"/>
      <c r="C93" s="116"/>
      <c r="D93" s="116"/>
      <c r="E93" s="116"/>
      <c r="F93" s="104" t="str">
        <f t="shared" si="13"/>
        <v>5.8</v>
      </c>
      <c r="G93" s="135" t="str">
        <f>"odd. B "&amp;F93</f>
        <v>odd. B 5.8</v>
      </c>
      <c r="H93" s="136" t="s">
        <v>18</v>
      </c>
      <c r="I93" s="137"/>
      <c r="J93" s="137"/>
      <c r="K93" s="138"/>
      <c r="L93" s="137"/>
      <c r="M93" s="138"/>
      <c r="N93" s="139"/>
    </row>
    <row r="94" spans="1:14" x14ac:dyDescent="0.25">
      <c r="A94" s="119"/>
      <c r="B94" s="119"/>
      <c r="C94" s="119"/>
      <c r="D94" s="119"/>
      <c r="E94" s="119"/>
      <c r="F94" s="104" t="str">
        <f t="shared" si="13"/>
        <v>5.8</v>
      </c>
      <c r="G94" s="140"/>
      <c r="H94" s="424"/>
      <c r="I94" s="425"/>
      <c r="J94" s="425"/>
      <c r="K94" s="425"/>
      <c r="L94" s="425"/>
      <c r="M94" s="425"/>
      <c r="N94" s="426"/>
    </row>
    <row r="95" spans="1:14" x14ac:dyDescent="0.25">
      <c r="A95" s="16"/>
      <c r="B95" s="16"/>
      <c r="C95" s="100"/>
      <c r="D95" s="100"/>
      <c r="E95" s="100"/>
      <c r="F95" s="104" t="str">
        <f t="shared" si="13"/>
        <v>5.8</v>
      </c>
      <c r="G95" s="151" t="str">
        <f>"odd. C "&amp;F95</f>
        <v>odd. C 5.8</v>
      </c>
      <c r="H95" s="152" t="s">
        <v>19</v>
      </c>
      <c r="I95" s="153"/>
      <c r="J95" s="153"/>
      <c r="K95" s="154"/>
      <c r="L95" s="153"/>
      <c r="M95" s="154"/>
      <c r="N95" s="155"/>
    </row>
    <row r="96" spans="1:14" ht="15.75" thickBot="1" x14ac:dyDescent="0.3">
      <c r="A96" s="117"/>
      <c r="B96" s="117"/>
      <c r="C96" s="117"/>
      <c r="D96" s="117"/>
      <c r="E96" s="117"/>
      <c r="F96" s="104" t="str">
        <f t="shared" si="13"/>
        <v>5.8</v>
      </c>
      <c r="G96" s="156"/>
      <c r="H96" s="427"/>
      <c r="I96" s="428"/>
      <c r="J96" s="428"/>
      <c r="K96" s="428"/>
      <c r="L96" s="428"/>
      <c r="M96" s="428"/>
      <c r="N96" s="429"/>
    </row>
    <row r="97" spans="1:14" collapsed="1" x14ac:dyDescent="0.25">
      <c r="A97" s="72"/>
      <c r="B97" s="72"/>
      <c r="C97" s="96"/>
      <c r="D97" s="96"/>
      <c r="E97" s="96"/>
      <c r="F97" s="105">
        <v>9</v>
      </c>
      <c r="G97" s="13" t="s">
        <v>17</v>
      </c>
      <c r="H97" s="3" t="s">
        <v>187</v>
      </c>
      <c r="I97" s="7"/>
      <c r="J97" s="162" t="str">
        <f>$J$5</f>
        <v>současný stav</v>
      </c>
      <c r="K97" s="130" t="str">
        <f>$K$5</f>
        <v>současný stav</v>
      </c>
      <c r="L97" s="162" t="str">
        <f>$L$5</f>
        <v>plánovaný stav</v>
      </c>
      <c r="M97" s="86" t="str">
        <f>$M$5</f>
        <v>plánovaný stav</v>
      </c>
      <c r="N97" s="157" t="str">
        <f>$N$5</f>
        <v>pokrok</v>
      </c>
    </row>
    <row r="98" spans="1:14" ht="24" x14ac:dyDescent="0.25">
      <c r="A98" s="73"/>
      <c r="B98" s="73"/>
      <c r="C98" s="97"/>
      <c r="D98" s="97"/>
      <c r="E98" s="97"/>
      <c r="F98" s="108" t="str">
        <f>G98</f>
        <v>5.9</v>
      </c>
      <c r="G98" s="70" t="str">
        <f>$G$2&amp;F97</f>
        <v>5.9</v>
      </c>
      <c r="H98" s="4" t="s">
        <v>191</v>
      </c>
      <c r="I98" s="12"/>
      <c r="J98" s="163" t="str">
        <f>$J$6</f>
        <v>výběr úrovně</v>
      </c>
      <c r="K98" s="131" t="str">
        <f>$K$6</f>
        <v>bodové hodnocení</v>
      </c>
      <c r="L98" s="163" t="str">
        <f>$L$6</f>
        <v>výběr úrovně</v>
      </c>
      <c r="M98" s="88" t="str">
        <f>$M$6</f>
        <v>bodové hodnocení</v>
      </c>
      <c r="N98" s="158" t="str">
        <f>$N$6</f>
        <v>bodové hodnocení</v>
      </c>
    </row>
    <row r="99" spans="1:14" ht="15.75" thickBot="1" x14ac:dyDescent="0.3">
      <c r="A99" s="74"/>
      <c r="B99" s="74"/>
      <c r="C99" s="101"/>
      <c r="D99" s="101"/>
      <c r="E99" s="101"/>
      <c r="F99" s="104" t="str">
        <f t="shared" ref="F99:F106" si="15">F98</f>
        <v>5.9</v>
      </c>
      <c r="G99" s="14"/>
      <c r="H99" s="15"/>
      <c r="I99" s="8"/>
      <c r="J99" s="164"/>
      <c r="K99" s="132" t="str">
        <f>$K$7</f>
        <v>B</v>
      </c>
      <c r="L99" s="164"/>
      <c r="M99" s="89"/>
      <c r="N99" s="159" t="str">
        <f>$N$7</f>
        <v>C</v>
      </c>
    </row>
    <row r="100" spans="1:14" x14ac:dyDescent="0.25">
      <c r="A100" s="69">
        <f>IF(G100="a.",0,IF(G100="b.",1,IF(G100="c.",2,IF(G100="d.",3,IF(G100="e.",4,IF(G100="f.",5,IF(G100="g.",6,IF(G100="h.",7,IF(G100="i.",8,IF(G100="j.",9,""))))))))))</f>
        <v>0</v>
      </c>
      <c r="B100" s="103">
        <f>MAX(A100:A103)</f>
        <v>2</v>
      </c>
      <c r="C100" s="98">
        <f>SUM(K100:K103)</f>
        <v>1</v>
      </c>
      <c r="D100" s="98">
        <f>SUM(M100:M103)</f>
        <v>1</v>
      </c>
      <c r="E100" s="98">
        <f>D100-C100</f>
        <v>0</v>
      </c>
      <c r="F100" s="104" t="str">
        <f t="shared" si="15"/>
        <v>5.9</v>
      </c>
      <c r="G100" s="2" t="s">
        <v>6</v>
      </c>
      <c r="H100" s="1" t="s">
        <v>7</v>
      </c>
      <c r="I100" s="79">
        <f>IF(A100&lt;&gt;"",A100/B100*2,"")</f>
        <v>0</v>
      </c>
      <c r="J100" s="218"/>
      <c r="K100" s="133" t="str">
        <f>IF(J100="","",I100)</f>
        <v/>
      </c>
      <c r="L100" s="218"/>
      <c r="M100" s="90" t="str">
        <f>IF(L100="","",I100)</f>
        <v/>
      </c>
      <c r="N100" s="160" t="str">
        <f>IF(AND(M100&lt;&gt;"",E100&gt;=0),E100,"")</f>
        <v/>
      </c>
    </row>
    <row r="101" spans="1:14" x14ac:dyDescent="0.25">
      <c r="A101" s="69">
        <f>IF(G101="a.",0,IF(G101="b.",1,IF(G101="c.",2,IF(G101="d.",3,IF(G101="e.",4,IF(G101="f.",5,IF(G101="g.",6,IF(G101="h.",7,IF(G101="i.",8,IF(G101="j.",9,""))))))))))</f>
        <v>1</v>
      </c>
      <c r="B101" s="99">
        <f t="shared" ref="B101:B102" si="16">B100</f>
        <v>2</v>
      </c>
      <c r="C101" s="93"/>
      <c r="D101" s="93"/>
      <c r="E101" s="99">
        <f>E100</f>
        <v>0</v>
      </c>
      <c r="F101" s="104" t="str">
        <f t="shared" si="15"/>
        <v>5.9</v>
      </c>
      <c r="G101" s="2" t="s">
        <v>8</v>
      </c>
      <c r="H101" s="1" t="s">
        <v>189</v>
      </c>
      <c r="I101" s="79">
        <f>IF(A101&lt;&gt;"",A101/B101*2,"")</f>
        <v>1</v>
      </c>
      <c r="J101" s="219" t="s">
        <v>298</v>
      </c>
      <c r="K101" s="134">
        <f>IF(J101="","",I101)</f>
        <v>1</v>
      </c>
      <c r="L101" s="219" t="s">
        <v>298</v>
      </c>
      <c r="M101" s="91">
        <f>IF(L101="","",I101)</f>
        <v>1</v>
      </c>
      <c r="N101" s="161">
        <f>IF(AND(M101&lt;&gt;"",E101&gt;=0),E101,"")</f>
        <v>0</v>
      </c>
    </row>
    <row r="102" spans="1:14" x14ac:dyDescent="0.25">
      <c r="A102" s="69">
        <f>IF(G102="a.",0,IF(G102="b.",1,IF(G102="c.",2,IF(G102="d.",3,IF(G102="e.",4,IF(G102="f.",5,IF(G102="g.",6,IF(G102="h.",7,IF(G102="i.",8,IF(G102="j.",9,""))))))))))</f>
        <v>2</v>
      </c>
      <c r="B102" s="99">
        <f t="shared" si="16"/>
        <v>2</v>
      </c>
      <c r="C102" s="93"/>
      <c r="D102" s="93"/>
      <c r="E102" s="99">
        <f>E101</f>
        <v>0</v>
      </c>
      <c r="F102" s="104" t="str">
        <f t="shared" si="15"/>
        <v>5.9</v>
      </c>
      <c r="G102" s="2" t="s">
        <v>10</v>
      </c>
      <c r="H102" s="1" t="s">
        <v>190</v>
      </c>
      <c r="I102" s="79">
        <f>IF(A102&lt;&gt;"",A102/B102*2,"")</f>
        <v>2</v>
      </c>
      <c r="J102" s="219"/>
      <c r="K102" s="134" t="str">
        <f>IF(J102="","",I102)</f>
        <v/>
      </c>
      <c r="L102" s="219"/>
      <c r="M102" s="91" t="str">
        <f>IF(L102="","",I102)</f>
        <v/>
      </c>
      <c r="N102" s="161" t="str">
        <f>IF(AND(M102&lt;&gt;"",E102&gt;=0),E102,"")</f>
        <v/>
      </c>
    </row>
    <row r="103" spans="1:14" x14ac:dyDescent="0.25">
      <c r="A103" s="115"/>
      <c r="B103" s="115"/>
      <c r="C103" s="116"/>
      <c r="D103" s="116"/>
      <c r="E103" s="116"/>
      <c r="F103" s="104" t="str">
        <f t="shared" si="15"/>
        <v>5.9</v>
      </c>
      <c r="G103" s="135" t="str">
        <f>"odd. B "&amp;F103</f>
        <v>odd. B 5.9</v>
      </c>
      <c r="H103" s="136" t="s">
        <v>18</v>
      </c>
      <c r="I103" s="137"/>
      <c r="J103" s="137"/>
      <c r="K103" s="138"/>
      <c r="L103" s="137"/>
      <c r="M103" s="138"/>
      <c r="N103" s="139"/>
    </row>
    <row r="104" spans="1:14" x14ac:dyDescent="0.25">
      <c r="A104" s="119"/>
      <c r="B104" s="119"/>
      <c r="C104" s="119"/>
      <c r="D104" s="119"/>
      <c r="E104" s="119"/>
      <c r="F104" s="104" t="str">
        <f t="shared" si="15"/>
        <v>5.9</v>
      </c>
      <c r="G104" s="140"/>
      <c r="H104" s="424"/>
      <c r="I104" s="425"/>
      <c r="J104" s="425"/>
      <c r="K104" s="425"/>
      <c r="L104" s="425"/>
      <c r="M104" s="425"/>
      <c r="N104" s="426"/>
    </row>
    <row r="105" spans="1:14" x14ac:dyDescent="0.25">
      <c r="A105" s="16"/>
      <c r="B105" s="16"/>
      <c r="C105" s="100"/>
      <c r="D105" s="100"/>
      <c r="E105" s="100"/>
      <c r="F105" s="104" t="str">
        <f t="shared" si="15"/>
        <v>5.9</v>
      </c>
      <c r="G105" s="151" t="str">
        <f>"odd. C "&amp;F105</f>
        <v>odd. C 5.9</v>
      </c>
      <c r="H105" s="152" t="s">
        <v>19</v>
      </c>
      <c r="I105" s="153"/>
      <c r="J105" s="153"/>
      <c r="K105" s="154"/>
      <c r="L105" s="153"/>
      <c r="M105" s="154"/>
      <c r="N105" s="155"/>
    </row>
    <row r="106" spans="1:14" ht="15.75" thickBot="1" x14ac:dyDescent="0.3">
      <c r="A106" s="117"/>
      <c r="B106" s="117"/>
      <c r="C106" s="117"/>
      <c r="D106" s="117"/>
      <c r="E106" s="117"/>
      <c r="F106" s="104" t="str">
        <f t="shared" si="15"/>
        <v>5.9</v>
      </c>
      <c r="G106" s="156"/>
      <c r="H106" s="427"/>
      <c r="I106" s="428"/>
      <c r="J106" s="428"/>
      <c r="K106" s="428"/>
      <c r="L106" s="428"/>
      <c r="M106" s="428"/>
      <c r="N106" s="429"/>
    </row>
    <row r="107" spans="1:14" x14ac:dyDescent="0.25">
      <c r="F107" s="5"/>
    </row>
  </sheetData>
  <sheetProtection algorithmName="SHA-512" hashValue="jUQswHp9P8ExMDQO7pwGl6JKhhsMkGWGT/91ySA90wnRvF3ayet1o1UtscayiZpMJ8AlNu3nEgVnrP0VajaDaw==" saltValue="IG9SJeSRmfLikJsnO81FxA==" spinCount="100000" sheet="1" objects="1" scenarios="1" formatCells="0"/>
  <mergeCells count="21">
    <mergeCell ref="J2:N2"/>
    <mergeCell ref="J9:N9"/>
    <mergeCell ref="G1:N1"/>
    <mergeCell ref="H17:N17"/>
    <mergeCell ref="H19:N19"/>
    <mergeCell ref="H28:N28"/>
    <mergeCell ref="H30:N30"/>
    <mergeCell ref="H39:N39"/>
    <mergeCell ref="H41:N41"/>
    <mergeCell ref="H50:N50"/>
    <mergeCell ref="H52:N52"/>
    <mergeCell ref="H61:N61"/>
    <mergeCell ref="H63:N63"/>
    <mergeCell ref="H72:N72"/>
    <mergeCell ref="H74:N74"/>
    <mergeCell ref="H106:N106"/>
    <mergeCell ref="H84:N84"/>
    <mergeCell ref="H86:N86"/>
    <mergeCell ref="H94:N94"/>
    <mergeCell ref="H96:N96"/>
    <mergeCell ref="H104:N104"/>
  </mergeCells>
  <conditionalFormatting sqref="I3">
    <cfRule type="expression" dxfId="98" priority="67">
      <formula>$J$8&lt;&gt;COUNTIF(I9:I111,2)</formula>
    </cfRule>
  </conditionalFormatting>
  <conditionalFormatting sqref="I4">
    <cfRule type="expression" dxfId="97" priority="68">
      <formula>$L$8&lt;&gt;COUNTIF(I9:I111,2)</formula>
    </cfRule>
  </conditionalFormatting>
  <conditionalFormatting sqref="G3">
    <cfRule type="expression" dxfId="96" priority="19">
      <formula>$J$8&lt;&gt;COUNTIF(I9:I111,2)</formula>
    </cfRule>
  </conditionalFormatting>
  <conditionalFormatting sqref="J3">
    <cfRule type="expression" dxfId="95" priority="17">
      <formula>$J$8&lt;&gt;COUNTIF(I9:I111,2)</formula>
    </cfRule>
  </conditionalFormatting>
  <conditionalFormatting sqref="K3">
    <cfRule type="expression" dxfId="94" priority="13">
      <formula>$J$8&lt;&gt;COUNTIF(I9:I111,2)</formula>
    </cfRule>
  </conditionalFormatting>
  <conditionalFormatting sqref="L3">
    <cfRule type="expression" dxfId="93" priority="12">
      <formula>$J$8&lt;&gt;COUNTIF(I9:I111,2)</formula>
    </cfRule>
  </conditionalFormatting>
  <conditionalFormatting sqref="M3">
    <cfRule type="expression" dxfId="92" priority="11">
      <formula>$J$8&lt;&gt;COUNTIF(I9:I111,2)</formula>
    </cfRule>
  </conditionalFormatting>
  <conditionalFormatting sqref="N3">
    <cfRule type="expression" dxfId="91" priority="10">
      <formula>$J$8&lt;&gt;COUNTIF(I9:I111,2)</formula>
    </cfRule>
  </conditionalFormatting>
  <conditionalFormatting sqref="G4">
    <cfRule type="expression" dxfId="90" priority="8">
      <formula>$L$8&lt;&gt;COUNTIF(I9:I111,2)</formula>
    </cfRule>
  </conditionalFormatting>
  <conditionalFormatting sqref="J4">
    <cfRule type="expression" dxfId="89" priority="7">
      <formula>$L$8&lt;&gt;COUNTIF(I9:I111,2)</formula>
    </cfRule>
  </conditionalFormatting>
  <conditionalFormatting sqref="K4">
    <cfRule type="expression" dxfId="88" priority="6">
      <formula>$L$8&lt;&gt;COUNTIF(I9:I111,2)</formula>
    </cfRule>
  </conditionalFormatting>
  <conditionalFormatting sqref="L4">
    <cfRule type="expression" dxfId="87" priority="5">
      <formula>$L$8&lt;&gt;COUNTIF(I9:I111,2)</formula>
    </cfRule>
  </conditionalFormatting>
  <conditionalFormatting sqref="M4">
    <cfRule type="expression" dxfId="86" priority="4">
      <formula>$L$8&lt;&gt;COUNTIF(I9:I111,2)</formula>
    </cfRule>
  </conditionalFormatting>
  <conditionalFormatting sqref="N4">
    <cfRule type="expression" dxfId="85" priority="3">
      <formula>$L$8&lt;&gt;COUNTIF(I9:I111,2)</formula>
    </cfRule>
  </conditionalFormatting>
  <conditionalFormatting sqref="H3">
    <cfRule type="expression" dxfId="84" priority="2">
      <formula>$J$8&lt;&gt;COUNTIF(I9:I111,2)</formula>
    </cfRule>
  </conditionalFormatting>
  <conditionalFormatting sqref="H4">
    <cfRule type="expression" dxfId="83" priority="1">
      <formula>$L$8&lt;&gt;COUNTIF(I9:I111,2)</formula>
    </cfRule>
  </conditionalFormatting>
  <pageMargins left="0.70866141732283472" right="0.70866141732283472" top="0.53" bottom="0.98" header="0.31496062992125984" footer="0.31496062992125984"/>
  <pageSetup paperSize="9" scale="56" fitToHeight="0" orientation="landscape" r:id="rId1"/>
  <rowBreaks count="2" manualBreakCount="2">
    <brk id="52" max="16383" man="1"/>
    <brk id="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showGridLines="0" topLeftCell="G1" zoomScale="85" zoomScaleNormal="85" workbookViewId="0">
      <pane xSplit="1" ySplit="9" topLeftCell="H10" activePane="bottomRight" state="frozen"/>
      <selection activeCell="G1" sqref="G1"/>
      <selection pane="topRight" activeCell="H1" sqref="H1"/>
      <selection pane="bottomLeft" activeCell="G10" sqref="G10"/>
      <selection pane="bottomRight" activeCell="H10" sqref="H10"/>
    </sheetView>
  </sheetViews>
  <sheetFormatPr defaultColWidth="9.140625" defaultRowHeight="15" outlineLevelRow="1" outlineLevelCol="1" x14ac:dyDescent="0.25"/>
  <cols>
    <col min="1" max="1" width="1.85546875" style="5" hidden="1" customWidth="1" outlineLevel="1"/>
    <col min="2" max="2" width="4" style="5" hidden="1" customWidth="1" outlineLevel="1"/>
    <col min="3" max="5" width="4" style="102" hidden="1" customWidth="1" outlineLevel="1"/>
    <col min="6" max="6" width="3.5703125" style="80" hidden="1" customWidth="1" outlineLevel="1"/>
    <col min="7" max="7" width="8.7109375" style="5" customWidth="1" collapsed="1"/>
    <col min="8" max="8" width="130.7109375" style="5" customWidth="1"/>
    <col min="9" max="10" width="15.7109375" style="5" customWidth="1"/>
    <col min="11" max="11" width="15.7109375" style="84" customWidth="1"/>
    <col min="12" max="12" width="15.7109375" style="5" customWidth="1"/>
    <col min="13" max="14" width="15.7109375" style="84" customWidth="1"/>
    <col min="15" max="16384" width="9.140625" style="5"/>
  </cols>
  <sheetData>
    <row r="1" spans="1:14" ht="15.75" thickBot="1" x14ac:dyDescent="0.3">
      <c r="A1" s="118"/>
      <c r="B1" s="118"/>
      <c r="C1" s="118"/>
      <c r="D1" s="118"/>
      <c r="E1" s="118"/>
      <c r="F1" s="118"/>
      <c r="G1" s="437" t="s">
        <v>192</v>
      </c>
      <c r="H1" s="438"/>
      <c r="I1" s="438"/>
      <c r="J1" s="438"/>
      <c r="K1" s="438"/>
      <c r="L1" s="438"/>
      <c r="M1" s="438"/>
      <c r="N1" s="439"/>
    </row>
    <row r="2" spans="1:14" ht="32.25" thickBot="1" x14ac:dyDescent="0.3">
      <c r="A2" s="6"/>
      <c r="B2" s="6"/>
      <c r="C2" s="37"/>
      <c r="D2" s="37"/>
      <c r="E2" s="37"/>
      <c r="F2" s="37"/>
      <c r="G2" s="122" t="s">
        <v>193</v>
      </c>
      <c r="H2" s="123" t="s">
        <v>286</v>
      </c>
      <c r="I2" s="220">
        <f>I3+I4</f>
        <v>4.5</v>
      </c>
      <c r="J2" s="433" t="str">
        <f>"/    "&amp;I8&amp;" bodů"</f>
        <v>/    8 bodů</v>
      </c>
      <c r="K2" s="433"/>
      <c r="L2" s="433"/>
      <c r="M2" s="433"/>
      <c r="N2" s="434"/>
    </row>
    <row r="3" spans="1:14" ht="21" x14ac:dyDescent="0.25">
      <c r="A3" s="109"/>
      <c r="B3" s="109"/>
      <c r="C3" s="110"/>
      <c r="D3" s="110"/>
      <c r="E3" s="110"/>
      <c r="F3" s="110"/>
      <c r="G3" s="177" t="str">
        <f>"B "&amp;$G$2</f>
        <v>B 6.</v>
      </c>
      <c r="H3" s="178" t="str">
        <f>IF($J$8&lt;&gt;COUNTIF(I9:I111,2),"Počet odpovědí neodpovídá počtu otázek, prosím zkontrolujte!",$H$2)</f>
        <v>IoT – prediktivní údržba</v>
      </c>
      <c r="I3" s="129">
        <f>K8</f>
        <v>2</v>
      </c>
      <c r="J3" s="207" t="str">
        <f>$J$2</f>
        <v>/    8 bodů</v>
      </c>
      <c r="K3" s="207"/>
      <c r="L3" s="207"/>
      <c r="M3" s="207"/>
      <c r="N3" s="208"/>
    </row>
    <row r="4" spans="1:14" ht="21.75" thickBot="1" x14ac:dyDescent="0.3">
      <c r="A4" s="113"/>
      <c r="B4" s="113"/>
      <c r="C4" s="114"/>
      <c r="D4" s="114"/>
      <c r="E4" s="114"/>
      <c r="F4" s="114"/>
      <c r="G4" s="175" t="str">
        <f>"C "&amp;$G$2</f>
        <v>C 6.</v>
      </c>
      <c r="H4" s="176" t="str">
        <f>IF($L$8&lt;&gt;COUNTIF(I9:I111,2),"Počet odpovědí neodpovídá počtu otázek, prosím zkontrolujte!",$H$2)</f>
        <v>IoT – prediktivní údržba</v>
      </c>
      <c r="I4" s="141">
        <f>N8</f>
        <v>2.5</v>
      </c>
      <c r="J4" s="142" t="str">
        <f>$J$2</f>
        <v>/    8 bodů</v>
      </c>
      <c r="K4" s="143"/>
      <c r="L4" s="144"/>
      <c r="M4" s="145"/>
      <c r="N4" s="146"/>
    </row>
    <row r="5" spans="1:14" hidden="1" outlineLevel="1" x14ac:dyDescent="0.25">
      <c r="A5" s="71"/>
      <c r="B5" s="71"/>
      <c r="C5" s="92"/>
      <c r="D5" s="92"/>
      <c r="E5" s="92"/>
      <c r="F5" s="92"/>
      <c r="G5" s="19"/>
      <c r="H5" s="23"/>
      <c r="I5" s="24"/>
      <c r="J5" s="17" t="str">
        <f>'01'!J5</f>
        <v>současný stav</v>
      </c>
      <c r="K5" s="17" t="str">
        <f>'01'!K5</f>
        <v>současný stav</v>
      </c>
      <c r="L5" s="17" t="str">
        <f>'01'!L5</f>
        <v>plánovaný stav</v>
      </c>
      <c r="M5" s="17" t="str">
        <f>'01'!M5</f>
        <v>plánovaný stav</v>
      </c>
      <c r="N5" s="17" t="str">
        <f>'01'!N5</f>
        <v>pokrok</v>
      </c>
    </row>
    <row r="6" spans="1:14" hidden="1" outlineLevel="1" x14ac:dyDescent="0.25">
      <c r="A6" s="11"/>
      <c r="B6" s="11"/>
      <c r="C6" s="93"/>
      <c r="D6" s="93"/>
      <c r="E6" s="93"/>
      <c r="F6" s="93"/>
      <c r="G6" s="20"/>
      <c r="H6" s="25"/>
      <c r="I6" s="26"/>
      <c r="J6" s="18" t="str">
        <f>'01'!J6</f>
        <v>výběr úrovně</v>
      </c>
      <c r="K6" s="18" t="str">
        <f>'01'!K6</f>
        <v>bodové hodnocení</v>
      </c>
      <c r="L6" s="18" t="str">
        <f>'01'!L6</f>
        <v>výběr úrovně</v>
      </c>
      <c r="M6" s="18" t="str">
        <f>'01'!M6</f>
        <v>bodové hodnocení</v>
      </c>
      <c r="N6" s="18" t="str">
        <f>'01'!N6</f>
        <v>bodové hodnocení</v>
      </c>
    </row>
    <row r="7" spans="1:14" hidden="1" outlineLevel="1" x14ac:dyDescent="0.25">
      <c r="A7" s="11"/>
      <c r="B7" s="11"/>
      <c r="C7" s="93"/>
      <c r="D7" s="93"/>
      <c r="E7" s="93"/>
      <c r="F7" s="93"/>
      <c r="G7" s="20"/>
      <c r="H7" s="25"/>
      <c r="I7" s="26"/>
      <c r="J7" s="18"/>
      <c r="K7" s="18" t="str">
        <f>'01'!K7</f>
        <v>B</v>
      </c>
      <c r="L7" s="18"/>
      <c r="M7" s="18"/>
      <c r="N7" s="18" t="str">
        <f>'01'!N7</f>
        <v>C</v>
      </c>
    </row>
    <row r="8" spans="1:14" ht="15.75" hidden="1" outlineLevel="1" thickBot="1" x14ac:dyDescent="0.3">
      <c r="A8" s="27"/>
      <c r="B8" s="27"/>
      <c r="C8" s="94"/>
      <c r="D8" s="94"/>
      <c r="E8" s="94"/>
      <c r="F8" s="94"/>
      <c r="G8" s="21"/>
      <c r="H8" s="27"/>
      <c r="I8" s="38">
        <f>COUNTIF(I9:I52,2)*2</f>
        <v>8</v>
      </c>
      <c r="J8" s="22">
        <f>COUNTIF(J9:J52,"x")</f>
        <v>4</v>
      </c>
      <c r="K8" s="81">
        <f>SUBTOTAL(9,K9:K52)</f>
        <v>2</v>
      </c>
      <c r="L8" s="22">
        <f>COUNTIF(L9:L52,"x")</f>
        <v>4</v>
      </c>
      <c r="M8" s="81">
        <f>SUBTOTAL(9,M9:M52)</f>
        <v>4.5</v>
      </c>
      <c r="N8" s="85">
        <f>SUBTOTAL(9,N9:N52)</f>
        <v>2.5</v>
      </c>
    </row>
    <row r="9" spans="1:14" s="29" customFormat="1" ht="12.75" collapsed="1" thickBot="1" x14ac:dyDescent="0.3">
      <c r="A9" s="28"/>
      <c r="B9" s="28"/>
      <c r="C9" s="95"/>
      <c r="D9" s="95"/>
      <c r="E9" s="95"/>
      <c r="F9" s="95"/>
      <c r="G9" s="125"/>
      <c r="H9" s="189"/>
      <c r="I9" s="127"/>
      <c r="J9" s="435"/>
      <c r="K9" s="435"/>
      <c r="L9" s="435"/>
      <c r="M9" s="435"/>
      <c r="N9" s="436"/>
    </row>
    <row r="10" spans="1:14" x14ac:dyDescent="0.25">
      <c r="A10" s="72"/>
      <c r="B10" s="72"/>
      <c r="C10" s="96"/>
      <c r="D10" s="96"/>
      <c r="E10" s="96"/>
      <c r="F10" s="105">
        <v>1</v>
      </c>
      <c r="G10" s="13" t="s">
        <v>17</v>
      </c>
      <c r="H10" s="3" t="s">
        <v>194</v>
      </c>
      <c r="I10" s="7"/>
      <c r="J10" s="162" t="str">
        <f>$J$5</f>
        <v>současný stav</v>
      </c>
      <c r="K10" s="130" t="str">
        <f>$K$5</f>
        <v>současný stav</v>
      </c>
      <c r="L10" s="162" t="str">
        <f>$L$5</f>
        <v>plánovaný stav</v>
      </c>
      <c r="M10" s="86" t="str">
        <f>$M$5</f>
        <v>plánovaný stav</v>
      </c>
      <c r="N10" s="157" t="str">
        <f>$N$5</f>
        <v>pokrok</v>
      </c>
    </row>
    <row r="11" spans="1:14" x14ac:dyDescent="0.25">
      <c r="A11" s="73"/>
      <c r="B11" s="73"/>
      <c r="C11" s="97"/>
      <c r="D11" s="97"/>
      <c r="E11" s="97"/>
      <c r="F11" s="108" t="str">
        <f>G11</f>
        <v>6.1</v>
      </c>
      <c r="G11" s="70" t="str">
        <f>$G$2&amp;F10</f>
        <v>6.1</v>
      </c>
      <c r="H11" s="4" t="s">
        <v>195</v>
      </c>
      <c r="I11" s="12"/>
      <c r="J11" s="163" t="str">
        <f>$J$6</f>
        <v>výběr úrovně</v>
      </c>
      <c r="K11" s="131" t="str">
        <f>$K$6</f>
        <v>bodové hodnocení</v>
      </c>
      <c r="L11" s="163" t="str">
        <f>$L$6</f>
        <v>výběr úrovně</v>
      </c>
      <c r="M11" s="88" t="str">
        <f>$M$6</f>
        <v>bodové hodnocení</v>
      </c>
      <c r="N11" s="158" t="str">
        <f>$N$6</f>
        <v>bodové hodnocení</v>
      </c>
    </row>
    <row r="12" spans="1:14" ht="15.75" thickBot="1" x14ac:dyDescent="0.3">
      <c r="A12" s="73"/>
      <c r="B12" s="73"/>
      <c r="C12" s="97"/>
      <c r="D12" s="97"/>
      <c r="E12" s="97"/>
      <c r="F12" s="104" t="str">
        <f>F11</f>
        <v>6.1</v>
      </c>
      <c r="G12" s="14"/>
      <c r="H12" s="15"/>
      <c r="I12" s="8"/>
      <c r="J12" s="164"/>
      <c r="K12" s="132" t="str">
        <f>$K$7</f>
        <v>B</v>
      </c>
      <c r="L12" s="164"/>
      <c r="M12" s="89"/>
      <c r="N12" s="159" t="str">
        <f>$N$7</f>
        <v>C</v>
      </c>
    </row>
    <row r="13" spans="1:14" x14ac:dyDescent="0.25">
      <c r="A13" s="69">
        <f>IF(G13="a.",0,IF(G13="b.",1,IF(G13="c.",2,IF(G13="d.",3,IF(G13="e.",4,IF(G13="f.",5,IF(G13="g.",6,IF(G13="h.",7,IF(G13="i.",8,IF(G13="j.",9,""))))))))))</f>
        <v>0</v>
      </c>
      <c r="B13" s="103">
        <f>MAX(A13:A18)</f>
        <v>4</v>
      </c>
      <c r="C13" s="98">
        <f>SUM(K13:K18)</f>
        <v>0.5</v>
      </c>
      <c r="D13" s="98">
        <f>SUM(M13:M18)</f>
        <v>0.5</v>
      </c>
      <c r="E13" s="98">
        <f>D13-C13</f>
        <v>0</v>
      </c>
      <c r="F13" s="104" t="str">
        <f t="shared" ref="F13:F21" si="0">F12</f>
        <v>6.1</v>
      </c>
      <c r="G13" s="9" t="s">
        <v>6</v>
      </c>
      <c r="H13" s="77" t="s">
        <v>196</v>
      </c>
      <c r="I13" s="79">
        <f>IF(A13&lt;&gt;"",A13/B13*2,"")</f>
        <v>0</v>
      </c>
      <c r="J13" s="218"/>
      <c r="K13" s="133" t="str">
        <f>IF(J13="","",I13)</f>
        <v/>
      </c>
      <c r="L13" s="218"/>
      <c r="M13" s="90" t="str">
        <f>IF(L13="","",I13)</f>
        <v/>
      </c>
      <c r="N13" s="160" t="str">
        <f>IF(AND(M13&lt;&gt;"",E13&gt;=0),E13,"")</f>
        <v/>
      </c>
    </row>
    <row r="14" spans="1:14" x14ac:dyDescent="0.25">
      <c r="A14" s="69">
        <f>IF(G14="a.",0,IF(G14="b.",1,IF(G14="c.",2,IF(G14="d.",3,IF(G14="e.",4,IF(G14="f.",5,IF(G14="g.",6,IF(G14="h.",7,IF(G14="i.",8,IF(G14="j.",9,""))))))))))</f>
        <v>1</v>
      </c>
      <c r="B14" s="99">
        <f t="shared" ref="B14:B17" si="1">B13</f>
        <v>4</v>
      </c>
      <c r="C14" s="93"/>
      <c r="D14" s="93"/>
      <c r="E14" s="99">
        <f>E13</f>
        <v>0</v>
      </c>
      <c r="F14" s="104" t="str">
        <f t="shared" si="0"/>
        <v>6.1</v>
      </c>
      <c r="G14" s="2" t="s">
        <v>8</v>
      </c>
      <c r="H14" s="78" t="s">
        <v>197</v>
      </c>
      <c r="I14" s="79">
        <f>IF(A14&lt;&gt;"",A14/B14*2,"")</f>
        <v>0.5</v>
      </c>
      <c r="J14" s="219" t="s">
        <v>298</v>
      </c>
      <c r="K14" s="134">
        <f>IF(J14="","",I14)</f>
        <v>0.5</v>
      </c>
      <c r="L14" s="219" t="s">
        <v>298</v>
      </c>
      <c r="M14" s="91">
        <f>IF(L14="","",I14)</f>
        <v>0.5</v>
      </c>
      <c r="N14" s="161">
        <f>IF(AND(M14&lt;&gt;"",E14&gt;=0),E14,"")</f>
        <v>0</v>
      </c>
    </row>
    <row r="15" spans="1:14" x14ac:dyDescent="0.25">
      <c r="A15" s="69">
        <f>IF(G15="a.",0,IF(G15="b.",1,IF(G15="c.",2,IF(G15="d.",3,IF(G15="e.",4,IF(G15="f.",5,IF(G15="g.",6,IF(G15="h.",7,IF(G15="i.",8,IF(G15="j.",9,""))))))))))</f>
        <v>2</v>
      </c>
      <c r="B15" s="99">
        <f t="shared" si="1"/>
        <v>4</v>
      </c>
      <c r="C15" s="93"/>
      <c r="D15" s="93"/>
      <c r="E15" s="99">
        <f>E14</f>
        <v>0</v>
      </c>
      <c r="F15" s="104" t="str">
        <f t="shared" si="0"/>
        <v>6.1</v>
      </c>
      <c r="G15" s="2" t="s">
        <v>10</v>
      </c>
      <c r="H15" s="78" t="s">
        <v>198</v>
      </c>
      <c r="I15" s="79">
        <f>IF(A15&lt;&gt;"",A15/B15*2,"")</f>
        <v>1</v>
      </c>
      <c r="J15" s="219"/>
      <c r="K15" s="134" t="str">
        <f>IF(J15="","",I15)</f>
        <v/>
      </c>
      <c r="L15" s="219"/>
      <c r="M15" s="91" t="str">
        <f>IF(L15="","",I15)</f>
        <v/>
      </c>
      <c r="N15" s="161" t="str">
        <f>IF(AND(M15&lt;&gt;"",E15&gt;=0),E15,"")</f>
        <v/>
      </c>
    </row>
    <row r="16" spans="1:14" x14ac:dyDescent="0.25">
      <c r="A16" s="69">
        <f>IF(G16="a.",0,IF(G16="b.",1,IF(G16="c.",2,IF(G16="d.",3,IF(G16="e.",4,IF(G16="f.",5,IF(G16="g.",6,IF(G16="h.",7,IF(G16="i.",8,IF(G16="j.",9,""))))))))))</f>
        <v>3</v>
      </c>
      <c r="B16" s="99">
        <f t="shared" si="1"/>
        <v>4</v>
      </c>
      <c r="C16" s="93"/>
      <c r="D16" s="93"/>
      <c r="E16" s="99">
        <f>E15</f>
        <v>0</v>
      </c>
      <c r="F16" s="104" t="str">
        <f t="shared" si="0"/>
        <v>6.1</v>
      </c>
      <c r="G16" s="75" t="s">
        <v>68</v>
      </c>
      <c r="H16" s="76" t="s">
        <v>199</v>
      </c>
      <c r="I16" s="79">
        <f>IF(A16&lt;&gt;"",A16/B16*2,"")</f>
        <v>1.5</v>
      </c>
      <c r="J16" s="219"/>
      <c r="K16" s="134" t="str">
        <f t="shared" ref="K16:K17" si="2">IF(J16="","",I16)</f>
        <v/>
      </c>
      <c r="L16" s="219"/>
      <c r="M16" s="91" t="str">
        <f t="shared" ref="M16:M17" si="3">IF(L16="","",I16)</f>
        <v/>
      </c>
      <c r="N16" s="161" t="str">
        <f>IF(AND(M16&lt;&gt;"",E16&gt;=0),E16,"")</f>
        <v/>
      </c>
    </row>
    <row r="17" spans="1:14" x14ac:dyDescent="0.25">
      <c r="A17" s="69">
        <f>IF(G17="a.",0,IF(G17="b.",1,IF(G17="c.",2,IF(G17="d.",3,IF(G17="e.",4,IF(G17="f.",5,IF(G17="g.",6,IF(G17="h.",7,IF(G17="i.",8,IF(G17="j.",9,""))))))))))</f>
        <v>4</v>
      </c>
      <c r="B17" s="99">
        <f t="shared" si="1"/>
        <v>4</v>
      </c>
      <c r="C17" s="93"/>
      <c r="D17" s="93"/>
      <c r="E17" s="99">
        <f>E16</f>
        <v>0</v>
      </c>
      <c r="F17" s="104" t="str">
        <f t="shared" si="0"/>
        <v>6.1</v>
      </c>
      <c r="G17" s="2" t="s">
        <v>92</v>
      </c>
      <c r="H17" s="76" t="s">
        <v>200</v>
      </c>
      <c r="I17" s="79">
        <f>IF(A17&lt;&gt;"",A17/B17*2,"")</f>
        <v>2</v>
      </c>
      <c r="J17" s="219"/>
      <c r="K17" s="134" t="str">
        <f t="shared" si="2"/>
        <v/>
      </c>
      <c r="L17" s="219"/>
      <c r="M17" s="91" t="str">
        <f t="shared" si="3"/>
        <v/>
      </c>
      <c r="N17" s="161" t="str">
        <f>IF(AND(M17&lt;&gt;"",E17&gt;=0),E17,"")</f>
        <v/>
      </c>
    </row>
    <row r="18" spans="1:14" x14ac:dyDescent="0.25">
      <c r="A18" s="115"/>
      <c r="B18" s="115"/>
      <c r="C18" s="116"/>
      <c r="D18" s="116"/>
      <c r="E18" s="116"/>
      <c r="F18" s="104" t="str">
        <f t="shared" si="0"/>
        <v>6.1</v>
      </c>
      <c r="G18" s="135" t="str">
        <f>"odd. B "&amp;F18</f>
        <v>odd. B 6.1</v>
      </c>
      <c r="H18" s="136" t="s">
        <v>18</v>
      </c>
      <c r="I18" s="137"/>
      <c r="J18" s="137"/>
      <c r="K18" s="138"/>
      <c r="L18" s="137"/>
      <c r="M18" s="138"/>
      <c r="N18" s="139"/>
    </row>
    <row r="19" spans="1:14" x14ac:dyDescent="0.25">
      <c r="A19" s="119"/>
      <c r="B19" s="119"/>
      <c r="C19" s="119"/>
      <c r="D19" s="119"/>
      <c r="E19" s="119"/>
      <c r="F19" s="104" t="str">
        <f t="shared" si="0"/>
        <v>6.1</v>
      </c>
      <c r="G19" s="140"/>
      <c r="H19" s="424"/>
      <c r="I19" s="425"/>
      <c r="J19" s="425"/>
      <c r="K19" s="425"/>
      <c r="L19" s="425"/>
      <c r="M19" s="425"/>
      <c r="N19" s="426"/>
    </row>
    <row r="20" spans="1:14" x14ac:dyDescent="0.25">
      <c r="A20" s="16"/>
      <c r="B20" s="16"/>
      <c r="C20" s="100"/>
      <c r="D20" s="100"/>
      <c r="E20" s="100"/>
      <c r="F20" s="104" t="str">
        <f t="shared" si="0"/>
        <v>6.1</v>
      </c>
      <c r="G20" s="151" t="str">
        <f>"odd. C "&amp;F20</f>
        <v>odd. C 6.1</v>
      </c>
      <c r="H20" s="152" t="s">
        <v>19</v>
      </c>
      <c r="I20" s="153"/>
      <c r="J20" s="153"/>
      <c r="K20" s="154"/>
      <c r="L20" s="153"/>
      <c r="M20" s="154"/>
      <c r="N20" s="155"/>
    </row>
    <row r="21" spans="1:14" ht="15.75" thickBot="1" x14ac:dyDescent="0.3">
      <c r="A21" s="117"/>
      <c r="B21" s="117"/>
      <c r="C21" s="117"/>
      <c r="D21" s="117"/>
      <c r="E21" s="117"/>
      <c r="F21" s="106" t="str">
        <f t="shared" si="0"/>
        <v>6.1</v>
      </c>
      <c r="G21" s="156"/>
      <c r="H21" s="427"/>
      <c r="I21" s="428"/>
      <c r="J21" s="428"/>
      <c r="K21" s="428"/>
      <c r="L21" s="428"/>
      <c r="M21" s="428"/>
      <c r="N21" s="429"/>
    </row>
    <row r="22" spans="1:14" collapsed="1" x14ac:dyDescent="0.25">
      <c r="A22" s="72"/>
      <c r="B22" s="72"/>
      <c r="C22" s="96"/>
      <c r="D22" s="96"/>
      <c r="E22" s="96"/>
      <c r="F22" s="107">
        <v>2</v>
      </c>
      <c r="G22" s="13" t="s">
        <v>17</v>
      </c>
      <c r="H22" s="3" t="s">
        <v>201</v>
      </c>
      <c r="I22" s="7"/>
      <c r="J22" s="162" t="str">
        <f>$J$5</f>
        <v>současný stav</v>
      </c>
      <c r="K22" s="130" t="str">
        <f>$K$5</f>
        <v>současný stav</v>
      </c>
      <c r="L22" s="162" t="str">
        <f>$L$5</f>
        <v>plánovaný stav</v>
      </c>
      <c r="M22" s="86" t="str">
        <f>$M$5</f>
        <v>plánovaný stav</v>
      </c>
      <c r="N22" s="157" t="str">
        <f>$N$5</f>
        <v>pokrok</v>
      </c>
    </row>
    <row r="23" spans="1:14" x14ac:dyDescent="0.25">
      <c r="A23" s="73"/>
      <c r="B23" s="73"/>
      <c r="C23" s="97"/>
      <c r="D23" s="97"/>
      <c r="E23" s="97"/>
      <c r="F23" s="108" t="str">
        <f>G23</f>
        <v>6.2</v>
      </c>
      <c r="G23" s="70" t="str">
        <f>$G$2&amp;F22</f>
        <v>6.2</v>
      </c>
      <c r="H23" s="4" t="s">
        <v>202</v>
      </c>
      <c r="I23" s="12"/>
      <c r="J23" s="163" t="str">
        <f>$J$6</f>
        <v>výběr úrovně</v>
      </c>
      <c r="K23" s="131" t="str">
        <f>$K$6</f>
        <v>bodové hodnocení</v>
      </c>
      <c r="L23" s="163" t="str">
        <f>$L$6</f>
        <v>výběr úrovně</v>
      </c>
      <c r="M23" s="88" t="str">
        <f>$M$6</f>
        <v>bodové hodnocení</v>
      </c>
      <c r="N23" s="158" t="str">
        <f>$N$6</f>
        <v>bodové hodnocení</v>
      </c>
    </row>
    <row r="24" spans="1:14" ht="15.75" thickBot="1" x14ac:dyDescent="0.3">
      <c r="A24" s="74"/>
      <c r="B24" s="74"/>
      <c r="C24" s="101"/>
      <c r="D24" s="101"/>
      <c r="E24" s="101"/>
      <c r="F24" s="106" t="str">
        <f t="shared" ref="F24:F33" si="4">F23</f>
        <v>6.2</v>
      </c>
      <c r="G24" s="14"/>
      <c r="H24" s="15"/>
      <c r="I24" s="8"/>
      <c r="J24" s="164"/>
      <c r="K24" s="132" t="str">
        <f>$K$7</f>
        <v>B</v>
      </c>
      <c r="L24" s="164"/>
      <c r="M24" s="89"/>
      <c r="N24" s="159" t="str">
        <f>$N$7</f>
        <v>C</v>
      </c>
    </row>
    <row r="25" spans="1:14" x14ac:dyDescent="0.25">
      <c r="A25" s="69">
        <f>IF(G25="a.",0,IF(G25="b.",1,IF(G25="c.",2,IF(G25="d.",3,IF(G25="e.",4,IF(G25="f.",5,IF(G25="g.",6,IF(G25="h.",7,IF(G25="i.",8,IF(G25="j.",9,""))))))))))</f>
        <v>0</v>
      </c>
      <c r="B25" s="103">
        <f>MAX(A25:A30)</f>
        <v>4</v>
      </c>
      <c r="C25" s="98">
        <f>SUM(K25:K30)</f>
        <v>0.5</v>
      </c>
      <c r="D25" s="98">
        <f>SUM(M25:M30)</f>
        <v>1</v>
      </c>
      <c r="E25" s="98">
        <f>D25-C25</f>
        <v>0.5</v>
      </c>
      <c r="F25" s="106" t="str">
        <f t="shared" si="4"/>
        <v>6.2</v>
      </c>
      <c r="G25" s="9" t="s">
        <v>6</v>
      </c>
      <c r="H25" s="10" t="s">
        <v>196</v>
      </c>
      <c r="I25" s="79">
        <f>IF(A25&lt;&gt;"",A25/B25*2,"")</f>
        <v>0</v>
      </c>
      <c r="J25" s="218"/>
      <c r="K25" s="133" t="str">
        <f>IF(J25="","",I25)</f>
        <v/>
      </c>
      <c r="L25" s="218"/>
      <c r="M25" s="90" t="str">
        <f>IF(L25="","",I25)</f>
        <v/>
      </c>
      <c r="N25" s="160" t="str">
        <f>IF(AND(M25&lt;&gt;"",E25&gt;=0),E25,"")</f>
        <v/>
      </c>
    </row>
    <row r="26" spans="1:14" x14ac:dyDescent="0.25">
      <c r="A26" s="69">
        <f>IF(G26="a.",0,IF(G26="b.",1,IF(G26="c.",2,IF(G26="d.",3,IF(G26="e.",4,IF(G26="f.",5,IF(G26="g.",6,IF(G26="h.",7,IF(G26="i.",8,IF(G26="j.",9,""))))))))))</f>
        <v>1</v>
      </c>
      <c r="B26" s="99">
        <f t="shared" ref="B26:B29" si="5">B25</f>
        <v>4</v>
      </c>
      <c r="C26" s="93"/>
      <c r="D26" s="93"/>
      <c r="E26" s="99">
        <f>E25</f>
        <v>0.5</v>
      </c>
      <c r="F26" s="106" t="str">
        <f t="shared" si="4"/>
        <v>6.2</v>
      </c>
      <c r="G26" s="2" t="s">
        <v>8</v>
      </c>
      <c r="H26" s="1" t="s">
        <v>197</v>
      </c>
      <c r="I26" s="79">
        <f>IF(A26&lt;&gt;"",A26/B26*2,"")</f>
        <v>0.5</v>
      </c>
      <c r="J26" s="219" t="s">
        <v>298</v>
      </c>
      <c r="K26" s="134">
        <f>IF(J26="","",I26)</f>
        <v>0.5</v>
      </c>
      <c r="L26" s="219"/>
      <c r="M26" s="91" t="str">
        <f>IF(L26="","",I26)</f>
        <v/>
      </c>
      <c r="N26" s="161" t="str">
        <f>IF(AND(M26&lt;&gt;"",E26&gt;=0),E26,"")</f>
        <v/>
      </c>
    </row>
    <row r="27" spans="1:14" x14ac:dyDescent="0.25">
      <c r="A27" s="69">
        <f>IF(G27="a.",0,IF(G27="b.",1,IF(G27="c.",2,IF(G27="d.",3,IF(G27="e.",4,IF(G27="f.",5,IF(G27="g.",6,IF(G27="h.",7,IF(G27="i.",8,IF(G27="j.",9,""))))))))))</f>
        <v>2</v>
      </c>
      <c r="B27" s="99">
        <f t="shared" si="5"/>
        <v>4</v>
      </c>
      <c r="C27" s="93"/>
      <c r="D27" s="93"/>
      <c r="E27" s="99">
        <f>E26</f>
        <v>0.5</v>
      </c>
      <c r="F27" s="106" t="str">
        <f t="shared" si="4"/>
        <v>6.2</v>
      </c>
      <c r="G27" s="2" t="s">
        <v>10</v>
      </c>
      <c r="H27" s="1" t="s">
        <v>198</v>
      </c>
      <c r="I27" s="79">
        <f>IF(A27&lt;&gt;"",A27/B27*2,"")</f>
        <v>1</v>
      </c>
      <c r="J27" s="219"/>
      <c r="K27" s="134" t="str">
        <f>IF(J27="","",I27)</f>
        <v/>
      </c>
      <c r="L27" s="219" t="s">
        <v>298</v>
      </c>
      <c r="M27" s="91">
        <f>IF(L27="","",I27)</f>
        <v>1</v>
      </c>
      <c r="N27" s="161">
        <f>IF(AND(M27&lt;&gt;"",E27&gt;=0),E27,"")</f>
        <v>0.5</v>
      </c>
    </row>
    <row r="28" spans="1:14" x14ac:dyDescent="0.25">
      <c r="A28" s="69">
        <f>IF(G28="a.",0,IF(G28="b.",1,IF(G28="c.",2,IF(G28="d.",3,IF(G28="e.",4,IF(G28="f.",5,IF(G28="g.",6,IF(G28="h.",7,IF(G28="i.",8,IF(G28="j.",9,""))))))))))</f>
        <v>3</v>
      </c>
      <c r="B28" s="99">
        <f t="shared" si="5"/>
        <v>4</v>
      </c>
      <c r="C28" s="93"/>
      <c r="D28" s="93"/>
      <c r="E28" s="99">
        <f>E27</f>
        <v>0.5</v>
      </c>
      <c r="F28" s="106" t="str">
        <f t="shared" si="4"/>
        <v>6.2</v>
      </c>
      <c r="G28" s="2" t="s">
        <v>68</v>
      </c>
      <c r="H28" s="1" t="s">
        <v>199</v>
      </c>
      <c r="I28" s="79">
        <f>IF(A28&lt;&gt;"",A28/B28*2,"")</f>
        <v>1.5</v>
      </c>
      <c r="J28" s="219"/>
      <c r="K28" s="134" t="str">
        <f>IF(J28="","",I28)</f>
        <v/>
      </c>
      <c r="L28" s="219"/>
      <c r="M28" s="91" t="str">
        <f>IF(L28="","",I28)</f>
        <v/>
      </c>
      <c r="N28" s="161" t="str">
        <f>IF(AND(M28&lt;&gt;"",E28&gt;=0),E28,"")</f>
        <v/>
      </c>
    </row>
    <row r="29" spans="1:14" x14ac:dyDescent="0.25">
      <c r="A29" s="69">
        <f>IF(G29="a.",0,IF(G29="b.",1,IF(G29="c.",2,IF(G29="d.",3,IF(G29="e.",4,IF(G29="f.",5,IF(G29="g.",6,IF(G29="h.",7,IF(G29="i.",8,IF(G29="j.",9,""))))))))))</f>
        <v>4</v>
      </c>
      <c r="B29" s="99">
        <f t="shared" si="5"/>
        <v>4</v>
      </c>
      <c r="C29" s="93"/>
      <c r="D29" s="93"/>
      <c r="E29" s="99">
        <f>E28</f>
        <v>0.5</v>
      </c>
      <c r="F29" s="106" t="str">
        <f t="shared" si="4"/>
        <v>6.2</v>
      </c>
      <c r="G29" s="2" t="s">
        <v>92</v>
      </c>
      <c r="H29" s="1" t="s">
        <v>200</v>
      </c>
      <c r="I29" s="79">
        <f>IF(A29&lt;&gt;"",A29/B29*2,"")</f>
        <v>2</v>
      </c>
      <c r="J29" s="219"/>
      <c r="K29" s="134" t="str">
        <f>IF(J29="","",I29)</f>
        <v/>
      </c>
      <c r="L29" s="219"/>
      <c r="M29" s="91" t="str">
        <f>IF(L29="","",I29)</f>
        <v/>
      </c>
      <c r="N29" s="161" t="str">
        <f>IF(AND(M29&lt;&gt;"",E29&gt;=0),E29,"")</f>
        <v/>
      </c>
    </row>
    <row r="30" spans="1:14" x14ac:dyDescent="0.25">
      <c r="A30" s="115"/>
      <c r="B30" s="115"/>
      <c r="C30" s="116"/>
      <c r="D30" s="116"/>
      <c r="E30" s="116"/>
      <c r="F30" s="106" t="str">
        <f t="shared" si="4"/>
        <v>6.2</v>
      </c>
      <c r="G30" s="135" t="str">
        <f>"odd. B "&amp;F30</f>
        <v>odd. B 6.2</v>
      </c>
      <c r="H30" s="136" t="s">
        <v>18</v>
      </c>
      <c r="I30" s="137"/>
      <c r="J30" s="137"/>
      <c r="K30" s="138"/>
      <c r="L30" s="137"/>
      <c r="M30" s="138"/>
      <c r="N30" s="139"/>
    </row>
    <row r="31" spans="1:14" x14ac:dyDescent="0.25">
      <c r="A31" s="119"/>
      <c r="B31" s="119"/>
      <c r="C31" s="119"/>
      <c r="D31" s="119"/>
      <c r="E31" s="119"/>
      <c r="F31" s="106" t="str">
        <f t="shared" si="4"/>
        <v>6.2</v>
      </c>
      <c r="G31" s="140"/>
      <c r="H31" s="424"/>
      <c r="I31" s="425"/>
      <c r="J31" s="425"/>
      <c r="K31" s="425"/>
      <c r="L31" s="425"/>
      <c r="M31" s="425"/>
      <c r="N31" s="426"/>
    </row>
    <row r="32" spans="1:14" x14ac:dyDescent="0.25">
      <c r="A32" s="16"/>
      <c r="B32" s="16"/>
      <c r="C32" s="100"/>
      <c r="D32" s="100"/>
      <c r="E32" s="100"/>
      <c r="F32" s="106" t="str">
        <f t="shared" si="4"/>
        <v>6.2</v>
      </c>
      <c r="G32" s="151" t="str">
        <f>"odd. C "&amp;F32</f>
        <v>odd. C 6.2</v>
      </c>
      <c r="H32" s="152" t="s">
        <v>19</v>
      </c>
      <c r="I32" s="153"/>
      <c r="J32" s="153"/>
      <c r="K32" s="154"/>
      <c r="L32" s="153"/>
      <c r="M32" s="154"/>
      <c r="N32" s="155"/>
    </row>
    <row r="33" spans="1:14" ht="15.75" thickBot="1" x14ac:dyDescent="0.3">
      <c r="A33" s="117"/>
      <c r="B33" s="117"/>
      <c r="C33" s="117"/>
      <c r="D33" s="117"/>
      <c r="E33" s="117"/>
      <c r="F33" s="106" t="str">
        <f t="shared" si="4"/>
        <v>6.2</v>
      </c>
      <c r="G33" s="156"/>
      <c r="H33" s="427"/>
      <c r="I33" s="428"/>
      <c r="J33" s="428"/>
      <c r="K33" s="428"/>
      <c r="L33" s="428"/>
      <c r="M33" s="428"/>
      <c r="N33" s="429"/>
    </row>
    <row r="34" spans="1:14" collapsed="1" x14ac:dyDescent="0.25">
      <c r="A34" s="72"/>
      <c r="B34" s="72"/>
      <c r="C34" s="96"/>
      <c r="D34" s="96"/>
      <c r="E34" s="96"/>
      <c r="F34" s="107">
        <v>3</v>
      </c>
      <c r="G34" s="13" t="s">
        <v>17</v>
      </c>
      <c r="H34" s="3" t="s">
        <v>203</v>
      </c>
      <c r="I34" s="7"/>
      <c r="J34" s="162" t="str">
        <f>$J$5</f>
        <v>současný stav</v>
      </c>
      <c r="K34" s="130" t="str">
        <f>$K$5</f>
        <v>současný stav</v>
      </c>
      <c r="L34" s="162" t="str">
        <f>$L$5</f>
        <v>plánovaný stav</v>
      </c>
      <c r="M34" s="86" t="str">
        <f>$M$5</f>
        <v>plánovaný stav</v>
      </c>
      <c r="N34" s="157" t="str">
        <f>$N$5</f>
        <v>pokrok</v>
      </c>
    </row>
    <row r="35" spans="1:14" x14ac:dyDescent="0.25">
      <c r="A35" s="73"/>
      <c r="B35" s="73"/>
      <c r="C35" s="97"/>
      <c r="D35" s="97"/>
      <c r="E35" s="97"/>
      <c r="F35" s="108" t="str">
        <f>G35</f>
        <v>6.3</v>
      </c>
      <c r="G35" s="70" t="str">
        <f>$G$2&amp;F34</f>
        <v>6.3</v>
      </c>
      <c r="H35" s="4" t="s">
        <v>204</v>
      </c>
      <c r="I35" s="12"/>
      <c r="J35" s="163" t="str">
        <f>$J$6</f>
        <v>výběr úrovně</v>
      </c>
      <c r="K35" s="131" t="str">
        <f>$K$6</f>
        <v>bodové hodnocení</v>
      </c>
      <c r="L35" s="163" t="str">
        <f>$L$6</f>
        <v>výběr úrovně</v>
      </c>
      <c r="M35" s="88" t="str">
        <f>$M$6</f>
        <v>bodové hodnocení</v>
      </c>
      <c r="N35" s="158" t="str">
        <f>$N$6</f>
        <v>bodové hodnocení</v>
      </c>
    </row>
    <row r="36" spans="1:14" ht="15.75" thickBot="1" x14ac:dyDescent="0.3">
      <c r="A36" s="74"/>
      <c r="B36" s="74"/>
      <c r="C36" s="101"/>
      <c r="D36" s="101"/>
      <c r="E36" s="101"/>
      <c r="F36" s="106" t="str">
        <f t="shared" ref="F36:F52" si="6">F35</f>
        <v>6.3</v>
      </c>
      <c r="G36" s="14"/>
      <c r="H36" s="15"/>
      <c r="I36" s="8"/>
      <c r="J36" s="164"/>
      <c r="K36" s="132" t="str">
        <f>$K$7</f>
        <v>B</v>
      </c>
      <c r="L36" s="164"/>
      <c r="M36" s="89"/>
      <c r="N36" s="159" t="str">
        <f>$N$7</f>
        <v>C</v>
      </c>
    </row>
    <row r="37" spans="1:14" x14ac:dyDescent="0.25">
      <c r="A37" s="69">
        <f>IF(G37="a.",0,IF(G37="b.",1,IF(G37="c.",2,IF(G37="d.",3,IF(G37="e.",4,IF(G37="f.",5,IF(G37="g.",6,IF(G37="h.",7,IF(G37="i.",8,IF(G37="j.",9,""))))))))))</f>
        <v>0</v>
      </c>
      <c r="B37" s="103">
        <f>MAX(A37:A40)</f>
        <v>2</v>
      </c>
      <c r="C37" s="98">
        <f>SUM(K37:K40)</f>
        <v>1</v>
      </c>
      <c r="D37" s="98">
        <f>SUM(M37:M40)</f>
        <v>1</v>
      </c>
      <c r="E37" s="98">
        <f>D37-C37</f>
        <v>0</v>
      </c>
      <c r="F37" s="106" t="str">
        <f t="shared" si="6"/>
        <v>6.3</v>
      </c>
      <c r="G37" s="2" t="s">
        <v>6</v>
      </c>
      <c r="H37" s="1" t="s">
        <v>205</v>
      </c>
      <c r="I37" s="79">
        <f>IF(A37&lt;&gt;"",A37/B37*2,"")</f>
        <v>0</v>
      </c>
      <c r="J37" s="218"/>
      <c r="K37" s="133" t="str">
        <f>IF(J37="","",I37)</f>
        <v/>
      </c>
      <c r="L37" s="218"/>
      <c r="M37" s="90" t="str">
        <f>IF(L37="","",I37)</f>
        <v/>
      </c>
      <c r="N37" s="160" t="str">
        <f>IF(AND(M37&lt;&gt;"",E37&gt;=0),E37,"")</f>
        <v/>
      </c>
    </row>
    <row r="38" spans="1:14" x14ac:dyDescent="0.25">
      <c r="A38" s="69">
        <f>IF(G38="a.",0,IF(G38="b.",1,IF(G38="c.",2,IF(G38="d.",3,IF(G38="e.",4,IF(G38="f.",5,IF(G38="g.",6,IF(G38="h.",7,IF(G38="i.",8,IF(G38="j.",9,""))))))))))</f>
        <v>1</v>
      </c>
      <c r="B38" s="99">
        <f t="shared" ref="B38:B39" si="7">B37</f>
        <v>2</v>
      </c>
      <c r="C38" s="93"/>
      <c r="D38" s="93"/>
      <c r="E38" s="99">
        <f>E37</f>
        <v>0</v>
      </c>
      <c r="F38" s="106" t="str">
        <f t="shared" si="6"/>
        <v>6.3</v>
      </c>
      <c r="G38" s="2" t="s">
        <v>8</v>
      </c>
      <c r="H38" s="1" t="s">
        <v>206</v>
      </c>
      <c r="I38" s="79">
        <f>IF(A38&lt;&gt;"",A38/B38*2,"")</f>
        <v>1</v>
      </c>
      <c r="J38" s="219" t="s">
        <v>298</v>
      </c>
      <c r="K38" s="134">
        <f>IF(J38="","",I38)</f>
        <v>1</v>
      </c>
      <c r="L38" s="219" t="s">
        <v>298</v>
      </c>
      <c r="M38" s="91">
        <f>IF(L38="","",I38)</f>
        <v>1</v>
      </c>
      <c r="N38" s="161">
        <f>IF(AND(M38&lt;&gt;"",E38&gt;=0),E38,"")</f>
        <v>0</v>
      </c>
    </row>
    <row r="39" spans="1:14" x14ac:dyDescent="0.25">
      <c r="A39" s="69">
        <f>IF(G39="a.",0,IF(G39="b.",1,IF(G39="c.",2,IF(G39="d.",3,IF(G39="e.",4,IF(G39="f.",5,IF(G39="g.",6,IF(G39="h.",7,IF(G39="i.",8,IF(G39="j.",9,""))))))))))</f>
        <v>2</v>
      </c>
      <c r="B39" s="99">
        <f t="shared" si="7"/>
        <v>2</v>
      </c>
      <c r="C39" s="93"/>
      <c r="D39" s="93"/>
      <c r="E39" s="99">
        <f>E38</f>
        <v>0</v>
      </c>
      <c r="F39" s="106" t="str">
        <f t="shared" si="6"/>
        <v>6.3</v>
      </c>
      <c r="G39" s="2" t="s">
        <v>10</v>
      </c>
      <c r="H39" s="1" t="s">
        <v>207</v>
      </c>
      <c r="I39" s="79">
        <f>IF(A39&lt;&gt;"",A39/B39*2,"")</f>
        <v>2</v>
      </c>
      <c r="J39" s="219"/>
      <c r="K39" s="134" t="str">
        <f>IF(J39="","",I39)</f>
        <v/>
      </c>
      <c r="L39" s="219"/>
      <c r="M39" s="91" t="str">
        <f>IF(L39="","",I39)</f>
        <v/>
      </c>
      <c r="N39" s="161" t="str">
        <f>IF(AND(M39&lt;&gt;"",E39&gt;=0),E39,"")</f>
        <v/>
      </c>
    </row>
    <row r="40" spans="1:14" x14ac:dyDescent="0.25">
      <c r="A40" s="115"/>
      <c r="B40" s="115"/>
      <c r="C40" s="116"/>
      <c r="D40" s="116"/>
      <c r="E40" s="116"/>
      <c r="F40" s="106" t="str">
        <f t="shared" si="6"/>
        <v>6.3</v>
      </c>
      <c r="G40" s="135" t="str">
        <f>"odd. B "&amp;F40</f>
        <v>odd. B 6.3</v>
      </c>
      <c r="H40" s="136" t="s">
        <v>18</v>
      </c>
      <c r="I40" s="137"/>
      <c r="J40" s="137"/>
      <c r="K40" s="138"/>
      <c r="L40" s="137"/>
      <c r="M40" s="138"/>
      <c r="N40" s="139"/>
    </row>
    <row r="41" spans="1:14" x14ac:dyDescent="0.25">
      <c r="A41" s="119"/>
      <c r="B41" s="119"/>
      <c r="C41" s="119"/>
      <c r="D41" s="119"/>
      <c r="E41" s="119"/>
      <c r="F41" s="106" t="str">
        <f t="shared" si="6"/>
        <v>6.3</v>
      </c>
      <c r="G41" s="140"/>
      <c r="H41" s="424"/>
      <c r="I41" s="425"/>
      <c r="J41" s="425"/>
      <c r="K41" s="425"/>
      <c r="L41" s="425"/>
      <c r="M41" s="425"/>
      <c r="N41" s="426"/>
    </row>
    <row r="42" spans="1:14" x14ac:dyDescent="0.25">
      <c r="A42" s="16"/>
      <c r="B42" s="16"/>
      <c r="C42" s="100"/>
      <c r="D42" s="100"/>
      <c r="E42" s="100"/>
      <c r="F42" s="106" t="str">
        <f t="shared" si="6"/>
        <v>6.3</v>
      </c>
      <c r="G42" s="151" t="str">
        <f>"odd. C "&amp;F42</f>
        <v>odd. C 6.3</v>
      </c>
      <c r="H42" s="152" t="s">
        <v>19</v>
      </c>
      <c r="I42" s="153"/>
      <c r="J42" s="153"/>
      <c r="K42" s="154"/>
      <c r="L42" s="153"/>
      <c r="M42" s="154"/>
      <c r="N42" s="155"/>
    </row>
    <row r="43" spans="1:14" ht="15.75" thickBot="1" x14ac:dyDescent="0.3">
      <c r="A43" s="117"/>
      <c r="B43" s="117"/>
      <c r="C43" s="117"/>
      <c r="D43" s="117"/>
      <c r="E43" s="117"/>
      <c r="F43" s="106" t="str">
        <f t="shared" si="6"/>
        <v>6.3</v>
      </c>
      <c r="G43" s="156"/>
      <c r="H43" s="427"/>
      <c r="I43" s="428"/>
      <c r="J43" s="428"/>
      <c r="K43" s="428"/>
      <c r="L43" s="428"/>
      <c r="M43" s="428"/>
      <c r="N43" s="429"/>
    </row>
    <row r="44" spans="1:14" collapsed="1" x14ac:dyDescent="0.25">
      <c r="A44" s="72"/>
      <c r="B44" s="72"/>
      <c r="C44" s="96"/>
      <c r="D44" s="96"/>
      <c r="E44" s="96"/>
      <c r="F44" s="107">
        <v>4</v>
      </c>
      <c r="G44" s="13" t="s">
        <v>17</v>
      </c>
      <c r="H44" s="3" t="s">
        <v>208</v>
      </c>
      <c r="I44" s="7"/>
      <c r="J44" s="162" t="str">
        <f>$J$5</f>
        <v>současný stav</v>
      </c>
      <c r="K44" s="130" t="str">
        <f>$K$5</f>
        <v>současný stav</v>
      </c>
      <c r="L44" s="162" t="str">
        <f>$L$5</f>
        <v>plánovaný stav</v>
      </c>
      <c r="M44" s="86" t="str">
        <f>$M$5</f>
        <v>plánovaný stav</v>
      </c>
      <c r="N44" s="157" t="str">
        <f>$N$5</f>
        <v>pokrok</v>
      </c>
    </row>
    <row r="45" spans="1:14" x14ac:dyDescent="0.25">
      <c r="A45" s="73"/>
      <c r="B45" s="73"/>
      <c r="C45" s="97"/>
      <c r="D45" s="97"/>
      <c r="E45" s="97"/>
      <c r="F45" s="108" t="str">
        <f>G45</f>
        <v>6.4</v>
      </c>
      <c r="G45" s="70" t="str">
        <f>$G$2&amp;F44</f>
        <v>6.4</v>
      </c>
      <c r="H45" s="4" t="s">
        <v>209</v>
      </c>
      <c r="I45" s="12"/>
      <c r="J45" s="163" t="str">
        <f>$J$6</f>
        <v>výběr úrovně</v>
      </c>
      <c r="K45" s="131" t="str">
        <f>$K$6</f>
        <v>bodové hodnocení</v>
      </c>
      <c r="L45" s="163" t="str">
        <f>$L$6</f>
        <v>výběr úrovně</v>
      </c>
      <c r="M45" s="88" t="str">
        <f>$M$6</f>
        <v>bodové hodnocení</v>
      </c>
      <c r="N45" s="158" t="str">
        <f>$N$6</f>
        <v>bodové hodnocení</v>
      </c>
    </row>
    <row r="46" spans="1:14" ht="15.75" thickBot="1" x14ac:dyDescent="0.3">
      <c r="A46" s="74"/>
      <c r="B46" s="74"/>
      <c r="C46" s="101"/>
      <c r="D46" s="101"/>
      <c r="E46" s="101"/>
      <c r="F46" s="106" t="str">
        <f t="shared" si="6"/>
        <v>6.4</v>
      </c>
      <c r="G46" s="14"/>
      <c r="H46" s="15"/>
      <c r="I46" s="8"/>
      <c r="J46" s="164"/>
      <c r="K46" s="132" t="str">
        <f>$K$7</f>
        <v>B</v>
      </c>
      <c r="L46" s="164"/>
      <c r="M46" s="89"/>
      <c r="N46" s="159" t="str">
        <f>$N$7</f>
        <v>C</v>
      </c>
    </row>
    <row r="47" spans="1:14" x14ac:dyDescent="0.25">
      <c r="A47" s="69">
        <f>IF(G47="a.",0,IF(G47="b.",1,IF(G47="c.",2,IF(G47="d.",3,IF(G47="e.",4,IF(G47="f.",5,IF(G47="g.",6,IF(G47="h.",7,IF(G47="i.",8,IF(G47="j.",9,""))))))))))</f>
        <v>0</v>
      </c>
      <c r="B47" s="103">
        <f>MAX(A47:A49)</f>
        <v>1</v>
      </c>
      <c r="C47" s="98">
        <f>SUM(K47:K49)</f>
        <v>0</v>
      </c>
      <c r="D47" s="98">
        <f>SUM(M47:M49)</f>
        <v>2</v>
      </c>
      <c r="E47" s="98">
        <f>D47-C47</f>
        <v>2</v>
      </c>
      <c r="F47" s="106" t="str">
        <f t="shared" si="6"/>
        <v>6.4</v>
      </c>
      <c r="G47" s="2" t="s">
        <v>6</v>
      </c>
      <c r="H47" s="1" t="s">
        <v>210</v>
      </c>
      <c r="I47" s="79">
        <f>IF(A47&lt;&gt;"",A47/B47*2,"")</f>
        <v>0</v>
      </c>
      <c r="J47" s="218" t="s">
        <v>298</v>
      </c>
      <c r="K47" s="133">
        <f>IF(J47="","",I47)</f>
        <v>0</v>
      </c>
      <c r="L47" s="218"/>
      <c r="M47" s="90" t="str">
        <f>IF(L47="","",I47)</f>
        <v/>
      </c>
      <c r="N47" s="160" t="str">
        <f>IF(AND(M47&lt;&gt;"",E47&gt;=0),E47,"")</f>
        <v/>
      </c>
    </row>
    <row r="48" spans="1:14" x14ac:dyDescent="0.25">
      <c r="A48" s="69">
        <f>IF(G48="a.",0,IF(G48="b.",1,IF(G48="c.",2,IF(G48="d.",3,IF(G48="e.",4,IF(G48="f.",5,IF(G48="g.",6,IF(G48="h.",7,IF(G48="i.",8,IF(G48="j.",9,""))))))))))</f>
        <v>1</v>
      </c>
      <c r="B48" s="99">
        <f t="shared" ref="B48" si="8">B47</f>
        <v>1</v>
      </c>
      <c r="C48" s="93"/>
      <c r="D48" s="93"/>
      <c r="E48" s="99">
        <f>E47</f>
        <v>2</v>
      </c>
      <c r="F48" s="106" t="str">
        <f t="shared" si="6"/>
        <v>6.4</v>
      </c>
      <c r="G48" s="2" t="s">
        <v>8</v>
      </c>
      <c r="H48" s="1" t="s">
        <v>211</v>
      </c>
      <c r="I48" s="79">
        <f>IF(A48&lt;&gt;"",A48/B48*2,"")</f>
        <v>2</v>
      </c>
      <c r="J48" s="219"/>
      <c r="K48" s="134" t="str">
        <f>IF(J48="","",I48)</f>
        <v/>
      </c>
      <c r="L48" s="219" t="s">
        <v>298</v>
      </c>
      <c r="M48" s="91">
        <f>IF(L48="","",I48)</f>
        <v>2</v>
      </c>
      <c r="N48" s="161">
        <f>IF(AND(M48&lt;&gt;"",E48&gt;=0),E48,"")</f>
        <v>2</v>
      </c>
    </row>
    <row r="49" spans="1:14" x14ac:dyDescent="0.25">
      <c r="A49" s="115"/>
      <c r="B49" s="115"/>
      <c r="C49" s="116"/>
      <c r="D49" s="116"/>
      <c r="E49" s="116"/>
      <c r="F49" s="106" t="str">
        <f t="shared" si="6"/>
        <v>6.4</v>
      </c>
      <c r="G49" s="135" t="str">
        <f>"odd. B "&amp;F49</f>
        <v>odd. B 6.4</v>
      </c>
      <c r="H49" s="136" t="s">
        <v>18</v>
      </c>
      <c r="I49" s="137"/>
      <c r="J49" s="137"/>
      <c r="K49" s="138"/>
      <c r="L49" s="137"/>
      <c r="M49" s="138"/>
      <c r="N49" s="139"/>
    </row>
    <row r="50" spans="1:14" x14ac:dyDescent="0.25">
      <c r="A50" s="119"/>
      <c r="B50" s="119"/>
      <c r="C50" s="119"/>
      <c r="D50" s="119"/>
      <c r="E50" s="119"/>
      <c r="F50" s="106" t="str">
        <f t="shared" si="6"/>
        <v>6.4</v>
      </c>
      <c r="G50" s="140"/>
      <c r="H50" s="424"/>
      <c r="I50" s="425"/>
      <c r="J50" s="425"/>
      <c r="K50" s="425"/>
      <c r="L50" s="425"/>
      <c r="M50" s="425"/>
      <c r="N50" s="426"/>
    </row>
    <row r="51" spans="1:14" x14ac:dyDescent="0.25">
      <c r="A51" s="16"/>
      <c r="B51" s="16"/>
      <c r="C51" s="100"/>
      <c r="D51" s="100"/>
      <c r="E51" s="100"/>
      <c r="F51" s="106" t="str">
        <f t="shared" si="6"/>
        <v>6.4</v>
      </c>
      <c r="G51" s="151" t="str">
        <f>"odd. C "&amp;F51</f>
        <v>odd. C 6.4</v>
      </c>
      <c r="H51" s="152" t="s">
        <v>19</v>
      </c>
      <c r="I51" s="153"/>
      <c r="J51" s="153"/>
      <c r="K51" s="154"/>
      <c r="L51" s="153"/>
      <c r="M51" s="154"/>
      <c r="N51" s="155"/>
    </row>
    <row r="52" spans="1:14" ht="15.75" thickBot="1" x14ac:dyDescent="0.3">
      <c r="A52" s="117"/>
      <c r="B52" s="117"/>
      <c r="C52" s="117"/>
      <c r="D52" s="117"/>
      <c r="E52" s="117"/>
      <c r="F52" s="106" t="str">
        <f t="shared" si="6"/>
        <v>6.4</v>
      </c>
      <c r="G52" s="156"/>
      <c r="H52" s="427"/>
      <c r="I52" s="428"/>
      <c r="J52" s="428"/>
      <c r="K52" s="428"/>
      <c r="L52" s="428"/>
      <c r="M52" s="428"/>
      <c r="N52" s="429"/>
    </row>
    <row r="53" spans="1:14" x14ac:dyDescent="0.25">
      <c r="F53" s="5"/>
    </row>
    <row r="54" spans="1:14" x14ac:dyDescent="0.25">
      <c r="F54" s="5"/>
    </row>
    <row r="55" spans="1:14" x14ac:dyDescent="0.25">
      <c r="F55" s="5"/>
    </row>
    <row r="56" spans="1:14" x14ac:dyDescent="0.25">
      <c r="F56" s="5"/>
    </row>
    <row r="57" spans="1:14" x14ac:dyDescent="0.25">
      <c r="F57" s="5"/>
    </row>
    <row r="58" spans="1:14" x14ac:dyDescent="0.25">
      <c r="F58" s="5"/>
    </row>
    <row r="59" spans="1:14" x14ac:dyDescent="0.25">
      <c r="F59" s="5"/>
    </row>
    <row r="60" spans="1:14" x14ac:dyDescent="0.25">
      <c r="F60" s="5"/>
    </row>
    <row r="61" spans="1:14" x14ac:dyDescent="0.25">
      <c r="F61" s="5"/>
    </row>
    <row r="62" spans="1:14" x14ac:dyDescent="0.25">
      <c r="F62" s="5"/>
    </row>
    <row r="63" spans="1:14" x14ac:dyDescent="0.25">
      <c r="F63" s="5"/>
    </row>
    <row r="64" spans="1:14" x14ac:dyDescent="0.25">
      <c r="F64" s="5"/>
    </row>
    <row r="65" spans="6:6" x14ac:dyDescent="0.25">
      <c r="F65" s="5"/>
    </row>
    <row r="66" spans="6:6" x14ac:dyDescent="0.25">
      <c r="F66" s="5"/>
    </row>
    <row r="67" spans="6:6" x14ac:dyDescent="0.25">
      <c r="F67" s="5"/>
    </row>
    <row r="68" spans="6:6" x14ac:dyDescent="0.25">
      <c r="F68" s="5"/>
    </row>
    <row r="69" spans="6:6" x14ac:dyDescent="0.25">
      <c r="F69" s="5"/>
    </row>
    <row r="70" spans="6:6" x14ac:dyDescent="0.25">
      <c r="F70" s="5"/>
    </row>
    <row r="71" spans="6:6" x14ac:dyDescent="0.25">
      <c r="F71" s="5"/>
    </row>
    <row r="72" spans="6:6" x14ac:dyDescent="0.25">
      <c r="F72" s="5"/>
    </row>
    <row r="73" spans="6:6" x14ac:dyDescent="0.25">
      <c r="F73" s="5"/>
    </row>
    <row r="74" spans="6:6" x14ac:dyDescent="0.25">
      <c r="F74" s="5"/>
    </row>
    <row r="75" spans="6:6" x14ac:dyDescent="0.25">
      <c r="F75" s="5"/>
    </row>
    <row r="76" spans="6:6" x14ac:dyDescent="0.25">
      <c r="F76" s="5"/>
    </row>
    <row r="77" spans="6:6" x14ac:dyDescent="0.25">
      <c r="F77" s="5"/>
    </row>
    <row r="78" spans="6:6" x14ac:dyDescent="0.25">
      <c r="F78" s="5"/>
    </row>
    <row r="79" spans="6:6" x14ac:dyDescent="0.25">
      <c r="F79" s="5"/>
    </row>
    <row r="80" spans="6:6" x14ac:dyDescent="0.25">
      <c r="F80" s="5"/>
    </row>
    <row r="81" spans="6:6" x14ac:dyDescent="0.25">
      <c r="F81" s="5"/>
    </row>
    <row r="82" spans="6:6" x14ac:dyDescent="0.25">
      <c r="F82" s="5"/>
    </row>
    <row r="83" spans="6:6" x14ac:dyDescent="0.25">
      <c r="F83" s="5"/>
    </row>
    <row r="84" spans="6:6" x14ac:dyDescent="0.25">
      <c r="F84" s="5"/>
    </row>
    <row r="85" spans="6:6" x14ac:dyDescent="0.25">
      <c r="F85" s="5"/>
    </row>
    <row r="86" spans="6:6" x14ac:dyDescent="0.25">
      <c r="F86" s="5"/>
    </row>
    <row r="87" spans="6:6" x14ac:dyDescent="0.25">
      <c r="F87" s="5"/>
    </row>
    <row r="88" spans="6:6" x14ac:dyDescent="0.25">
      <c r="F88" s="5"/>
    </row>
    <row r="89" spans="6:6" x14ac:dyDescent="0.25">
      <c r="F89" s="5"/>
    </row>
    <row r="90" spans="6:6" x14ac:dyDescent="0.25">
      <c r="F90" s="5"/>
    </row>
    <row r="91" spans="6:6" x14ac:dyDescent="0.25">
      <c r="F91" s="5"/>
    </row>
    <row r="92" spans="6:6" x14ac:dyDescent="0.25">
      <c r="F92" s="5"/>
    </row>
    <row r="93" spans="6:6" x14ac:dyDescent="0.25">
      <c r="F93" s="5"/>
    </row>
    <row r="94" spans="6:6" x14ac:dyDescent="0.25">
      <c r="F94" s="5"/>
    </row>
    <row r="95" spans="6:6" x14ac:dyDescent="0.25">
      <c r="F95" s="5"/>
    </row>
    <row r="96" spans="6:6" x14ac:dyDescent="0.25">
      <c r="F96" s="5"/>
    </row>
    <row r="97" spans="6:6" x14ac:dyDescent="0.25">
      <c r="F97" s="5"/>
    </row>
    <row r="98" spans="6:6" x14ac:dyDescent="0.25">
      <c r="F98" s="5"/>
    </row>
    <row r="99" spans="6:6" x14ac:dyDescent="0.25">
      <c r="F99" s="5"/>
    </row>
    <row r="100" spans="6:6" x14ac:dyDescent="0.25">
      <c r="F100" s="5"/>
    </row>
    <row r="101" spans="6:6" x14ac:dyDescent="0.25">
      <c r="F101" s="5"/>
    </row>
    <row r="102" spans="6:6" x14ac:dyDescent="0.25">
      <c r="F102" s="5"/>
    </row>
    <row r="103" spans="6:6" x14ac:dyDescent="0.25">
      <c r="F103" s="5"/>
    </row>
    <row r="104" spans="6:6" x14ac:dyDescent="0.25">
      <c r="F104" s="5"/>
    </row>
    <row r="105" spans="6:6" x14ac:dyDescent="0.25">
      <c r="F105" s="5"/>
    </row>
    <row r="106" spans="6:6" x14ac:dyDescent="0.25">
      <c r="F106" s="5"/>
    </row>
    <row r="107" spans="6:6" x14ac:dyDescent="0.25">
      <c r="F107" s="5"/>
    </row>
    <row r="108" spans="6:6" x14ac:dyDescent="0.25">
      <c r="F108" s="5"/>
    </row>
    <row r="109" spans="6:6" x14ac:dyDescent="0.25">
      <c r="F109" s="5"/>
    </row>
  </sheetData>
  <sheetProtection algorithmName="SHA-512" hashValue="W4imQ1E7iBStQHmHlbjA3Szwb7uqL/kLFt8iHNrpFqVqMgryiRT/zgqF94SX/X9SQsBn9AV3QuiiMt2UPBqRaw==" saltValue="sWG/xlgaMjen/luAwEKYuw==" spinCount="100000" sheet="1" objects="1" scenarios="1" formatCells="0"/>
  <mergeCells count="11">
    <mergeCell ref="J2:N2"/>
    <mergeCell ref="J9:N9"/>
    <mergeCell ref="G1:N1"/>
    <mergeCell ref="H19:N19"/>
    <mergeCell ref="H21:N21"/>
    <mergeCell ref="H52:N52"/>
    <mergeCell ref="H31:N31"/>
    <mergeCell ref="H33:N33"/>
    <mergeCell ref="H41:N41"/>
    <mergeCell ref="H43:N43"/>
    <mergeCell ref="H50:N50"/>
  </mergeCells>
  <conditionalFormatting sqref="I3">
    <cfRule type="expression" dxfId="82" priority="17">
      <formula>$J$8&lt;&gt;COUNTIF(I9:I111,2)</formula>
    </cfRule>
  </conditionalFormatting>
  <conditionalFormatting sqref="I4">
    <cfRule type="expression" dxfId="81" priority="18">
      <formula>$L$8&lt;&gt;COUNTIF(I9:I111,2)</formula>
    </cfRule>
  </conditionalFormatting>
  <conditionalFormatting sqref="G3">
    <cfRule type="expression" dxfId="80" priority="15">
      <formula>$J$8&lt;&gt;COUNTIF(I9:I111,2)</formula>
    </cfRule>
  </conditionalFormatting>
  <conditionalFormatting sqref="J3">
    <cfRule type="expression" dxfId="79" priority="14">
      <formula>$J$8&lt;&gt;COUNTIF(I9:I111,2)</formula>
    </cfRule>
  </conditionalFormatting>
  <conditionalFormatting sqref="K3">
    <cfRule type="expression" dxfId="78" priority="13">
      <formula>$J$8&lt;&gt;COUNTIF(I9:I111,2)</formula>
    </cfRule>
  </conditionalFormatting>
  <conditionalFormatting sqref="L3">
    <cfRule type="expression" dxfId="77" priority="12">
      <formula>$J$8&lt;&gt;COUNTIF(I9:I111,2)</formula>
    </cfRule>
  </conditionalFormatting>
  <conditionalFormatting sqref="M3">
    <cfRule type="expression" dxfId="76" priority="11">
      <formula>$J$8&lt;&gt;COUNTIF(I9:I111,2)</formula>
    </cfRule>
  </conditionalFormatting>
  <conditionalFormatting sqref="N3">
    <cfRule type="expression" dxfId="75" priority="10">
      <formula>$J$8&lt;&gt;COUNTIF(I9:I111,2)</formula>
    </cfRule>
  </conditionalFormatting>
  <conditionalFormatting sqref="G4">
    <cfRule type="expression" dxfId="74" priority="8">
      <formula>$L$8&lt;&gt;COUNTIF(I9:I111,2)</formula>
    </cfRule>
  </conditionalFormatting>
  <conditionalFormatting sqref="J4">
    <cfRule type="expression" dxfId="73" priority="7">
      <formula>$L$8&lt;&gt;COUNTIF(I9:I111,2)</formula>
    </cfRule>
  </conditionalFormatting>
  <conditionalFormatting sqref="K4">
    <cfRule type="expression" dxfId="72" priority="6">
      <formula>$L$8&lt;&gt;COUNTIF(I9:I111,2)</formula>
    </cfRule>
  </conditionalFormatting>
  <conditionalFormatting sqref="L4">
    <cfRule type="expression" dxfId="71" priority="5">
      <formula>$L$8&lt;&gt;COUNTIF(I9:I111,2)</formula>
    </cfRule>
  </conditionalFormatting>
  <conditionalFormatting sqref="M4">
    <cfRule type="expression" dxfId="70" priority="4">
      <formula>$L$8&lt;&gt;COUNTIF(I9:I111,2)</formula>
    </cfRule>
  </conditionalFormatting>
  <conditionalFormatting sqref="N4">
    <cfRule type="expression" dxfId="69" priority="3">
      <formula>$L$8&lt;&gt;COUNTIF(I9:I111,2)</formula>
    </cfRule>
  </conditionalFormatting>
  <conditionalFormatting sqref="H3">
    <cfRule type="expression" dxfId="68" priority="2">
      <formula>$J$8&lt;&gt;COUNTIF(I9:I111,2)</formula>
    </cfRule>
  </conditionalFormatting>
  <conditionalFormatting sqref="H4">
    <cfRule type="expression" dxfId="67" priority="1">
      <formula>$L$8&lt;&gt;COUNTIF(I9:I111,2)</formula>
    </cfRule>
  </conditionalFormatting>
  <pageMargins left="0.70866141732283472" right="0.70866141732283472" top="0.55000000000000004" bottom="0.78740157480314965" header="0.31496062992125984" footer="0.31496062992125984"/>
  <pageSetup paperSize="9" scale="5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topLeftCell="G1" zoomScale="85" zoomScaleNormal="85" workbookViewId="0">
      <pane xSplit="1" ySplit="9" topLeftCell="H10" activePane="bottomRight" state="frozen"/>
      <selection activeCell="G1" sqref="G1"/>
      <selection pane="topRight" activeCell="H1" sqref="H1"/>
      <selection pane="bottomLeft" activeCell="G10" sqref="G10"/>
      <selection pane="bottomRight" activeCell="H10" sqref="H10"/>
    </sheetView>
  </sheetViews>
  <sheetFormatPr defaultColWidth="9.140625" defaultRowHeight="15" outlineLevelRow="1" outlineLevelCol="1" x14ac:dyDescent="0.25"/>
  <cols>
    <col min="1" max="1" width="1.85546875" style="5" hidden="1" customWidth="1" outlineLevel="1"/>
    <col min="2" max="2" width="4" style="5" hidden="1" customWidth="1" outlineLevel="1"/>
    <col min="3" max="4" width="4" style="102" hidden="1" customWidth="1" outlineLevel="1"/>
    <col min="5" max="5" width="5.140625" style="102" hidden="1" customWidth="1" outlineLevel="1"/>
    <col min="6" max="6" width="3.5703125" style="80" hidden="1" customWidth="1" outlineLevel="1"/>
    <col min="7" max="7" width="8.7109375" style="5" customWidth="1" collapsed="1"/>
    <col min="8" max="8" width="130.7109375" style="5" customWidth="1"/>
    <col min="9" max="10" width="15.7109375" style="5" customWidth="1"/>
    <col min="11" max="11" width="15.7109375" style="84" customWidth="1"/>
    <col min="12" max="12" width="15.7109375" style="5" customWidth="1"/>
    <col min="13" max="14" width="15.7109375" style="84" customWidth="1"/>
    <col min="15" max="16384" width="9.140625" style="5"/>
  </cols>
  <sheetData>
    <row r="1" spans="1:14" ht="15.75" thickBot="1" x14ac:dyDescent="0.3">
      <c r="A1" s="118"/>
      <c r="B1" s="118"/>
      <c r="C1" s="118"/>
      <c r="D1" s="118"/>
      <c r="E1" s="118"/>
      <c r="F1" s="118"/>
      <c r="G1" s="437" t="s">
        <v>224</v>
      </c>
      <c r="H1" s="438"/>
      <c r="I1" s="438"/>
      <c r="J1" s="438"/>
      <c r="K1" s="438"/>
      <c r="L1" s="438"/>
      <c r="M1" s="438"/>
      <c r="N1" s="439"/>
    </row>
    <row r="2" spans="1:14" ht="32.25" thickBot="1" x14ac:dyDescent="0.3">
      <c r="A2" s="6"/>
      <c r="B2" s="6"/>
      <c r="C2" s="37"/>
      <c r="D2" s="37"/>
      <c r="E2" s="37"/>
      <c r="F2" s="37"/>
      <c r="G2" s="122" t="s">
        <v>219</v>
      </c>
      <c r="H2" s="123" t="s">
        <v>223</v>
      </c>
      <c r="I2" s="220">
        <f>I3+I4</f>
        <v>5.5</v>
      </c>
      <c r="J2" s="433" t="str">
        <f>"/    "&amp;I8&amp;" bodů"</f>
        <v>/    12 bodů</v>
      </c>
      <c r="K2" s="433"/>
      <c r="L2" s="433"/>
      <c r="M2" s="433"/>
      <c r="N2" s="434"/>
    </row>
    <row r="3" spans="1:14" ht="21" x14ac:dyDescent="0.25">
      <c r="A3" s="109"/>
      <c r="B3" s="109"/>
      <c r="C3" s="110"/>
      <c r="D3" s="110"/>
      <c r="E3" s="110"/>
      <c r="F3" s="110"/>
      <c r="G3" s="177" t="str">
        <f>"B "&amp;$G$2</f>
        <v>B 7.</v>
      </c>
      <c r="H3" s="178" t="str">
        <f>IF($J$8&lt;&gt;COUNTIF(I9:I111,2),"Počet odpovědí neodpovídá počtu otázek, prosím zkontrolujte!",$H$2)</f>
        <v>Robotizace výrobních procesů a toků materiálu</v>
      </c>
      <c r="I3" s="129">
        <f>K8</f>
        <v>4</v>
      </c>
      <c r="J3" s="207" t="str">
        <f>$J$2</f>
        <v>/    12 bodů</v>
      </c>
      <c r="K3" s="207"/>
      <c r="L3" s="207"/>
      <c r="M3" s="207"/>
      <c r="N3" s="208"/>
    </row>
    <row r="4" spans="1:14" ht="21.75" thickBot="1" x14ac:dyDescent="0.3">
      <c r="A4" s="113"/>
      <c r="B4" s="113"/>
      <c r="C4" s="114"/>
      <c r="D4" s="114"/>
      <c r="E4" s="114"/>
      <c r="F4" s="114"/>
      <c r="G4" s="175" t="str">
        <f>"C "&amp;$G$2</f>
        <v>C 7.</v>
      </c>
      <c r="H4" s="176" t="str">
        <f>IF($L$8&lt;&gt;COUNTIF(I9:I111,2),"Počet odpovědí neodpovídá počtu otázek, prosím zkontrolujte!",$H$2)</f>
        <v>Robotizace výrobních procesů a toků materiálu</v>
      </c>
      <c r="I4" s="141">
        <f>N8</f>
        <v>1.5</v>
      </c>
      <c r="J4" s="142" t="str">
        <f>$J$2</f>
        <v>/    12 bodů</v>
      </c>
      <c r="K4" s="143"/>
      <c r="L4" s="144"/>
      <c r="M4" s="145"/>
      <c r="N4" s="146"/>
    </row>
    <row r="5" spans="1:14" hidden="1" outlineLevel="1" x14ac:dyDescent="0.25">
      <c r="A5" s="71"/>
      <c r="B5" s="71"/>
      <c r="C5" s="92"/>
      <c r="D5" s="92"/>
      <c r="E5" s="92"/>
      <c r="F5" s="92"/>
      <c r="G5" s="19"/>
      <c r="H5" s="23"/>
      <c r="I5" s="24"/>
      <c r="J5" s="17" t="str">
        <f>'01'!J5</f>
        <v>současný stav</v>
      </c>
      <c r="K5" s="17" t="str">
        <f>'01'!K5</f>
        <v>současný stav</v>
      </c>
      <c r="L5" s="17" t="str">
        <f>'01'!L5</f>
        <v>plánovaný stav</v>
      </c>
      <c r="M5" s="17" t="str">
        <f>'01'!M5</f>
        <v>plánovaný stav</v>
      </c>
      <c r="N5" s="17" t="str">
        <f>'01'!N5</f>
        <v>pokrok</v>
      </c>
    </row>
    <row r="6" spans="1:14" hidden="1" outlineLevel="1" x14ac:dyDescent="0.25">
      <c r="A6" s="11"/>
      <c r="B6" s="11"/>
      <c r="C6" s="93"/>
      <c r="D6" s="93"/>
      <c r="E6" s="93"/>
      <c r="F6" s="93"/>
      <c r="G6" s="20"/>
      <c r="H6" s="25"/>
      <c r="I6" s="26"/>
      <c r="J6" s="18" t="str">
        <f>'01'!J6</f>
        <v>výběr úrovně</v>
      </c>
      <c r="K6" s="18" t="str">
        <f>'01'!K6</f>
        <v>bodové hodnocení</v>
      </c>
      <c r="L6" s="18" t="str">
        <f>'01'!L6</f>
        <v>výběr úrovně</v>
      </c>
      <c r="M6" s="18" t="str">
        <f>'01'!M6</f>
        <v>bodové hodnocení</v>
      </c>
      <c r="N6" s="18" t="str">
        <f>'01'!N6</f>
        <v>bodové hodnocení</v>
      </c>
    </row>
    <row r="7" spans="1:14" hidden="1" outlineLevel="1" x14ac:dyDescent="0.25">
      <c r="A7" s="11"/>
      <c r="B7" s="11"/>
      <c r="C7" s="93"/>
      <c r="D7" s="93"/>
      <c r="E7" s="93"/>
      <c r="F7" s="93"/>
      <c r="G7" s="20"/>
      <c r="H7" s="25"/>
      <c r="I7" s="26"/>
      <c r="J7" s="18"/>
      <c r="K7" s="18" t="str">
        <f>'01'!K7</f>
        <v>B</v>
      </c>
      <c r="L7" s="18"/>
      <c r="M7" s="18"/>
      <c r="N7" s="18" t="str">
        <f>'01'!N7</f>
        <v>C</v>
      </c>
    </row>
    <row r="8" spans="1:14" ht="15.75" hidden="1" outlineLevel="1" thickBot="1" x14ac:dyDescent="0.3">
      <c r="A8" s="27"/>
      <c r="B8" s="27"/>
      <c r="C8" s="94"/>
      <c r="D8" s="94"/>
      <c r="E8" s="94"/>
      <c r="F8" s="94"/>
      <c r="G8" s="21"/>
      <c r="H8" s="27"/>
      <c r="I8" s="38">
        <f>COUNTIF(I9:I71,2)*2</f>
        <v>12</v>
      </c>
      <c r="J8" s="22">
        <f>COUNTIF(J9:J71,"x")</f>
        <v>6</v>
      </c>
      <c r="K8" s="81">
        <f>SUBTOTAL(9,K9:K71)</f>
        <v>4</v>
      </c>
      <c r="L8" s="22">
        <f>COUNTIF(L9:L71,"x")</f>
        <v>6</v>
      </c>
      <c r="M8" s="81">
        <f>SUBTOTAL(9,M9:M71)</f>
        <v>5.5</v>
      </c>
      <c r="N8" s="85">
        <f>SUBTOTAL(9,N9:N71)</f>
        <v>1.5</v>
      </c>
    </row>
    <row r="9" spans="1:14" s="29" customFormat="1" ht="12.75" collapsed="1" thickBot="1" x14ac:dyDescent="0.3">
      <c r="A9" s="28"/>
      <c r="B9" s="28"/>
      <c r="C9" s="95"/>
      <c r="D9" s="95"/>
      <c r="E9" s="95"/>
      <c r="F9" s="95"/>
      <c r="G9" s="125"/>
      <c r="H9" s="189"/>
      <c r="I9" s="127"/>
      <c r="J9" s="435"/>
      <c r="K9" s="435"/>
      <c r="L9" s="435"/>
      <c r="M9" s="435"/>
      <c r="N9" s="436"/>
    </row>
    <row r="10" spans="1:14" x14ac:dyDescent="0.25">
      <c r="A10" s="72"/>
      <c r="B10" s="72"/>
      <c r="C10" s="96"/>
      <c r="D10" s="96"/>
      <c r="E10" s="96"/>
      <c r="F10" s="105">
        <v>1</v>
      </c>
      <c r="G10" s="13" t="s">
        <v>17</v>
      </c>
      <c r="H10" s="3" t="s">
        <v>225</v>
      </c>
      <c r="I10" s="7"/>
      <c r="J10" s="162" t="str">
        <f>$J$5</f>
        <v>současný stav</v>
      </c>
      <c r="K10" s="130" t="str">
        <f>$K$5</f>
        <v>současný stav</v>
      </c>
      <c r="L10" s="162" t="str">
        <f>$L$5</f>
        <v>plánovaný stav</v>
      </c>
      <c r="M10" s="86" t="str">
        <f>$M$5</f>
        <v>plánovaný stav</v>
      </c>
      <c r="N10" s="157" t="str">
        <f>$N$5</f>
        <v>pokrok</v>
      </c>
    </row>
    <row r="11" spans="1:14" x14ac:dyDescent="0.25">
      <c r="A11" s="73"/>
      <c r="B11" s="73"/>
      <c r="C11" s="97"/>
      <c r="D11" s="97"/>
      <c r="E11" s="97"/>
      <c r="F11" s="108" t="str">
        <f>G11</f>
        <v>7.1</v>
      </c>
      <c r="G11" s="70" t="str">
        <f>$G$2&amp;F10</f>
        <v>7.1</v>
      </c>
      <c r="H11" s="4" t="s">
        <v>226</v>
      </c>
      <c r="I11" s="12"/>
      <c r="J11" s="163" t="str">
        <f>$J$6</f>
        <v>výběr úrovně</v>
      </c>
      <c r="K11" s="131" t="str">
        <f>$K$6</f>
        <v>bodové hodnocení</v>
      </c>
      <c r="L11" s="163" t="str">
        <f>$L$6</f>
        <v>výběr úrovně</v>
      </c>
      <c r="M11" s="88" t="str">
        <f>$M$6</f>
        <v>bodové hodnocení</v>
      </c>
      <c r="N11" s="158" t="str">
        <f>$N$6</f>
        <v>bodové hodnocení</v>
      </c>
    </row>
    <row r="12" spans="1:14" ht="15.75" thickBot="1" x14ac:dyDescent="0.3">
      <c r="A12" s="73"/>
      <c r="B12" s="73"/>
      <c r="C12" s="97"/>
      <c r="D12" s="97"/>
      <c r="E12" s="97"/>
      <c r="F12" s="104" t="str">
        <f>F11</f>
        <v>7.1</v>
      </c>
      <c r="G12" s="14"/>
      <c r="H12" s="15"/>
      <c r="I12" s="8"/>
      <c r="J12" s="164"/>
      <c r="K12" s="132" t="str">
        <f>$K$7</f>
        <v>B</v>
      </c>
      <c r="L12" s="164"/>
      <c r="M12" s="89"/>
      <c r="N12" s="159" t="str">
        <f>$N$7</f>
        <v>C</v>
      </c>
    </row>
    <row r="13" spans="1:14" x14ac:dyDescent="0.25">
      <c r="A13" s="69">
        <f>IF(G13="a.",0,IF(G13="b.",1,IF(G13="c.",2,IF(G13="d.",3,IF(G13="e.",4,IF(G13="f.",5,IF(G13="g.",6,IF(G13="h.",7,IF(G13="i.",8,IF(G13="j.",9,""))))))))))</f>
        <v>0</v>
      </c>
      <c r="B13" s="103">
        <f>MAX(A13:A16)</f>
        <v>2</v>
      </c>
      <c r="C13" s="98">
        <f>SUM(K13:K16)</f>
        <v>0</v>
      </c>
      <c r="D13" s="98">
        <f>SUM(M13:M16)</f>
        <v>1</v>
      </c>
      <c r="E13" s="98">
        <f>D13-C13</f>
        <v>1</v>
      </c>
      <c r="F13" s="104" t="str">
        <f t="shared" ref="F13:F19" si="0">F12</f>
        <v>7.1</v>
      </c>
      <c r="G13" s="9" t="s">
        <v>6</v>
      </c>
      <c r="H13" s="77" t="s">
        <v>227</v>
      </c>
      <c r="I13" s="79">
        <f>IF(A13&lt;&gt;"",A13/B13*2,"")</f>
        <v>0</v>
      </c>
      <c r="J13" s="218" t="s">
        <v>298</v>
      </c>
      <c r="K13" s="133">
        <f>IF(J13="","",I13)</f>
        <v>0</v>
      </c>
      <c r="L13" s="218"/>
      <c r="M13" s="90" t="str">
        <f>IF(L13="","",I13)</f>
        <v/>
      </c>
      <c r="N13" s="160" t="str">
        <f>IF(AND(M13&lt;&gt;"",E13&gt;=0),E13,"")</f>
        <v/>
      </c>
    </row>
    <row r="14" spans="1:14" x14ac:dyDescent="0.25">
      <c r="A14" s="69">
        <f>IF(G14="a.",0,IF(G14="b.",1,IF(G14="c.",2,IF(G14="d.",3,IF(G14="e.",4,IF(G14="f.",5,IF(G14="g.",6,IF(G14="h.",7,IF(G14="i.",8,IF(G14="j.",9,""))))))))))</f>
        <v>1</v>
      </c>
      <c r="B14" s="99">
        <f t="shared" ref="B14:B15" si="1">B13</f>
        <v>2</v>
      </c>
      <c r="C14" s="93"/>
      <c r="D14" s="93"/>
      <c r="E14" s="99">
        <f>E13</f>
        <v>1</v>
      </c>
      <c r="F14" s="104" t="str">
        <f t="shared" si="0"/>
        <v>7.1</v>
      </c>
      <c r="G14" s="2" t="s">
        <v>8</v>
      </c>
      <c r="H14" s="78" t="s">
        <v>228</v>
      </c>
      <c r="I14" s="79">
        <f>IF(A14&lt;&gt;"",A14/B14*2,"")</f>
        <v>1</v>
      </c>
      <c r="J14" s="219"/>
      <c r="K14" s="134" t="str">
        <f>IF(J14="","",I14)</f>
        <v/>
      </c>
      <c r="L14" s="219" t="s">
        <v>298</v>
      </c>
      <c r="M14" s="91">
        <f>IF(L14="","",I14)</f>
        <v>1</v>
      </c>
      <c r="N14" s="161">
        <f>IF(AND(M14&lt;&gt;"",E14&gt;=0),E14,"")</f>
        <v>1</v>
      </c>
    </row>
    <row r="15" spans="1:14" x14ac:dyDescent="0.25">
      <c r="A15" s="69">
        <f>IF(G15="a.",0,IF(G15="b.",1,IF(G15="c.",2,IF(G15="d.",3,IF(G15="e.",4,IF(G15="f.",5,IF(G15="g.",6,IF(G15="h.",7,IF(G15="i.",8,IF(G15="j.",9,""))))))))))</f>
        <v>2</v>
      </c>
      <c r="B15" s="99">
        <f t="shared" si="1"/>
        <v>2</v>
      </c>
      <c r="C15" s="93"/>
      <c r="D15" s="93"/>
      <c r="E15" s="99">
        <f>E14</f>
        <v>1</v>
      </c>
      <c r="F15" s="104" t="str">
        <f t="shared" si="0"/>
        <v>7.1</v>
      </c>
      <c r="G15" s="2" t="s">
        <v>10</v>
      </c>
      <c r="H15" s="78" t="s">
        <v>229</v>
      </c>
      <c r="I15" s="79">
        <f>IF(A15&lt;&gt;"",A15/B15*2,"")</f>
        <v>2</v>
      </c>
      <c r="J15" s="219"/>
      <c r="K15" s="134" t="str">
        <f>IF(J15="","",I15)</f>
        <v/>
      </c>
      <c r="L15" s="219"/>
      <c r="M15" s="91" t="str">
        <f>IF(L15="","",I15)</f>
        <v/>
      </c>
      <c r="N15" s="161" t="str">
        <f>IF(AND(M15&lt;&gt;"",E15&gt;=0),E15,"")</f>
        <v/>
      </c>
    </row>
    <row r="16" spans="1:14" x14ac:dyDescent="0.25">
      <c r="A16" s="115"/>
      <c r="B16" s="115"/>
      <c r="C16" s="116"/>
      <c r="D16" s="116"/>
      <c r="E16" s="116"/>
      <c r="F16" s="104" t="str">
        <f t="shared" si="0"/>
        <v>7.1</v>
      </c>
      <c r="G16" s="135" t="str">
        <f>"odd. B "&amp;F16</f>
        <v>odd. B 7.1</v>
      </c>
      <c r="H16" s="136" t="s">
        <v>18</v>
      </c>
      <c r="I16" s="137"/>
      <c r="J16" s="137"/>
      <c r="K16" s="138"/>
      <c r="L16" s="137"/>
      <c r="M16" s="138"/>
      <c r="N16" s="139"/>
    </row>
    <row r="17" spans="1:14" x14ac:dyDescent="0.25">
      <c r="A17" s="119"/>
      <c r="B17" s="119"/>
      <c r="C17" s="119"/>
      <c r="D17" s="119"/>
      <c r="E17" s="119"/>
      <c r="F17" s="104" t="str">
        <f t="shared" si="0"/>
        <v>7.1</v>
      </c>
      <c r="G17" s="140"/>
      <c r="H17" s="424"/>
      <c r="I17" s="425"/>
      <c r="J17" s="425"/>
      <c r="K17" s="425"/>
      <c r="L17" s="425"/>
      <c r="M17" s="425"/>
      <c r="N17" s="426"/>
    </row>
    <row r="18" spans="1:14" x14ac:dyDescent="0.25">
      <c r="A18" s="16"/>
      <c r="B18" s="16"/>
      <c r="C18" s="100"/>
      <c r="D18" s="100"/>
      <c r="E18" s="100"/>
      <c r="F18" s="104" t="str">
        <f t="shared" si="0"/>
        <v>7.1</v>
      </c>
      <c r="G18" s="151" t="str">
        <f>"odd. C "&amp;F18</f>
        <v>odd. C 7.1</v>
      </c>
      <c r="H18" s="152" t="s">
        <v>19</v>
      </c>
      <c r="I18" s="153"/>
      <c r="J18" s="153"/>
      <c r="K18" s="154"/>
      <c r="L18" s="153"/>
      <c r="M18" s="154"/>
      <c r="N18" s="155"/>
    </row>
    <row r="19" spans="1:14" ht="15.75" thickBot="1" x14ac:dyDescent="0.3">
      <c r="A19" s="117"/>
      <c r="B19" s="117"/>
      <c r="C19" s="117"/>
      <c r="D19" s="117"/>
      <c r="E19" s="117"/>
      <c r="F19" s="104" t="str">
        <f t="shared" si="0"/>
        <v>7.1</v>
      </c>
      <c r="G19" s="156"/>
      <c r="H19" s="427"/>
      <c r="I19" s="428"/>
      <c r="J19" s="428"/>
      <c r="K19" s="428"/>
      <c r="L19" s="428"/>
      <c r="M19" s="428"/>
      <c r="N19" s="429"/>
    </row>
    <row r="20" spans="1:14" collapsed="1" x14ac:dyDescent="0.25">
      <c r="A20" s="72"/>
      <c r="B20" s="72"/>
      <c r="C20" s="96"/>
      <c r="D20" s="96"/>
      <c r="E20" s="96"/>
      <c r="F20" s="105">
        <v>2</v>
      </c>
      <c r="G20" s="13" t="s">
        <v>17</v>
      </c>
      <c r="H20" s="3" t="s">
        <v>230</v>
      </c>
      <c r="I20" s="7"/>
      <c r="J20" s="162" t="str">
        <f>$J$5</f>
        <v>současný stav</v>
      </c>
      <c r="K20" s="130" t="str">
        <f>$K$5</f>
        <v>současný stav</v>
      </c>
      <c r="L20" s="162" t="str">
        <f>$L$5</f>
        <v>plánovaný stav</v>
      </c>
      <c r="M20" s="86" t="str">
        <f>$M$5</f>
        <v>plánovaný stav</v>
      </c>
      <c r="N20" s="157" t="str">
        <f>$N$5</f>
        <v>pokrok</v>
      </c>
    </row>
    <row r="21" spans="1:14" x14ac:dyDescent="0.25">
      <c r="A21" s="73"/>
      <c r="B21" s="73"/>
      <c r="C21" s="97"/>
      <c r="D21" s="97"/>
      <c r="E21" s="97"/>
      <c r="F21" s="108" t="str">
        <f>G21</f>
        <v>7.2</v>
      </c>
      <c r="G21" s="70" t="str">
        <f>$G$2&amp;F20</f>
        <v>7.2</v>
      </c>
      <c r="H21" s="4" t="s">
        <v>231</v>
      </c>
      <c r="I21" s="12"/>
      <c r="J21" s="163" t="str">
        <f>$J$6</f>
        <v>výběr úrovně</v>
      </c>
      <c r="K21" s="131" t="str">
        <f>$K$6</f>
        <v>bodové hodnocení</v>
      </c>
      <c r="L21" s="163" t="str">
        <f>$L$6</f>
        <v>výběr úrovně</v>
      </c>
      <c r="M21" s="88" t="str">
        <f>$M$6</f>
        <v>bodové hodnocení</v>
      </c>
      <c r="N21" s="158" t="str">
        <f>$N$6</f>
        <v>bodové hodnocení</v>
      </c>
    </row>
    <row r="22" spans="1:14" ht="15.75" thickBot="1" x14ac:dyDescent="0.3">
      <c r="A22" s="74"/>
      <c r="B22" s="74"/>
      <c r="C22" s="101"/>
      <c r="D22" s="101"/>
      <c r="E22" s="101"/>
      <c r="F22" s="104" t="str">
        <f t="shared" ref="F22:F29" si="2">F21</f>
        <v>7.2</v>
      </c>
      <c r="G22" s="14"/>
      <c r="H22" s="15"/>
      <c r="I22" s="8"/>
      <c r="J22" s="164"/>
      <c r="K22" s="132" t="str">
        <f>$K$7</f>
        <v>B</v>
      </c>
      <c r="L22" s="164"/>
      <c r="M22" s="89"/>
      <c r="N22" s="159" t="str">
        <f>$N$7</f>
        <v>C</v>
      </c>
    </row>
    <row r="23" spans="1:14" x14ac:dyDescent="0.25">
      <c r="A23" s="69">
        <f>IF(G23="a.",0,IF(G23="b.",1,IF(G23="c.",2,IF(G23="d.",3,IF(G23="e.",4,IF(G23="f.",5,IF(G23="g.",6,IF(G23="h.",7,IF(G23="i.",8,IF(G23="j.",9,""))))))))))</f>
        <v>0</v>
      </c>
      <c r="B23" s="103">
        <f>MAX(A23:A26)</f>
        <v>2</v>
      </c>
      <c r="C23" s="98">
        <f>SUM(K23:K26)</f>
        <v>1</v>
      </c>
      <c r="D23" s="98">
        <f>SUM(M23:M26)</f>
        <v>1</v>
      </c>
      <c r="E23" s="98">
        <f>D23-C23</f>
        <v>0</v>
      </c>
      <c r="F23" s="104" t="str">
        <f t="shared" si="2"/>
        <v>7.2</v>
      </c>
      <c r="G23" s="9" t="s">
        <v>6</v>
      </c>
      <c r="H23" s="10" t="s">
        <v>227</v>
      </c>
      <c r="I23" s="79">
        <f>IF(A23&lt;&gt;"",A23/B23*2,"")</f>
        <v>0</v>
      </c>
      <c r="J23" s="218"/>
      <c r="K23" s="133" t="str">
        <f>IF(J23="","",I23)</f>
        <v/>
      </c>
      <c r="L23" s="218"/>
      <c r="M23" s="90" t="str">
        <f>IF(L23="","",I23)</f>
        <v/>
      </c>
      <c r="N23" s="160" t="str">
        <f>IF(AND(M23&lt;&gt;"",E23&gt;=0),E23,"")</f>
        <v/>
      </c>
    </row>
    <row r="24" spans="1:14" x14ac:dyDescent="0.25">
      <c r="A24" s="69">
        <f>IF(G24="a.",0,IF(G24="b.",1,IF(G24="c.",2,IF(G24="d.",3,IF(G24="e.",4,IF(G24="f.",5,IF(G24="g.",6,IF(G24="h.",7,IF(G24="i.",8,IF(G24="j.",9,""))))))))))</f>
        <v>1</v>
      </c>
      <c r="B24" s="99">
        <f t="shared" ref="B24:B25" si="3">B23</f>
        <v>2</v>
      </c>
      <c r="C24" s="93"/>
      <c r="D24" s="93"/>
      <c r="E24" s="99">
        <f>E23</f>
        <v>0</v>
      </c>
      <c r="F24" s="104" t="str">
        <f t="shared" si="2"/>
        <v>7.2</v>
      </c>
      <c r="G24" s="2" t="s">
        <v>8</v>
      </c>
      <c r="H24" s="1" t="s">
        <v>228</v>
      </c>
      <c r="I24" s="79">
        <f>IF(A24&lt;&gt;"",A24/B24*2,"")</f>
        <v>1</v>
      </c>
      <c r="J24" s="219" t="s">
        <v>298</v>
      </c>
      <c r="K24" s="134">
        <f>IF(J24="","",I24)</f>
        <v>1</v>
      </c>
      <c r="L24" s="219" t="s">
        <v>298</v>
      </c>
      <c r="M24" s="91">
        <f>IF(L24="","",I24)</f>
        <v>1</v>
      </c>
      <c r="N24" s="161">
        <f>IF(AND(M24&lt;&gt;"",E24&gt;=0),E24,"")</f>
        <v>0</v>
      </c>
    </row>
    <row r="25" spans="1:14" x14ac:dyDescent="0.25">
      <c r="A25" s="69">
        <f>IF(G25="a.",0,IF(G25="b.",1,IF(G25="c.",2,IF(G25="d.",3,IF(G25="e.",4,IF(G25="f.",5,IF(G25="g.",6,IF(G25="h.",7,IF(G25="i.",8,IF(G25="j.",9,""))))))))))</f>
        <v>2</v>
      </c>
      <c r="B25" s="99">
        <f t="shared" si="3"/>
        <v>2</v>
      </c>
      <c r="C25" s="93"/>
      <c r="D25" s="93"/>
      <c r="E25" s="99">
        <f>E24</f>
        <v>0</v>
      </c>
      <c r="F25" s="104" t="str">
        <f t="shared" si="2"/>
        <v>7.2</v>
      </c>
      <c r="G25" s="2" t="s">
        <v>10</v>
      </c>
      <c r="H25" s="1" t="s">
        <v>229</v>
      </c>
      <c r="I25" s="79">
        <f>IF(A25&lt;&gt;"",A25/B25*2,"")</f>
        <v>2</v>
      </c>
      <c r="J25" s="219"/>
      <c r="K25" s="134" t="str">
        <f>IF(J25="","",I25)</f>
        <v/>
      </c>
      <c r="L25" s="219"/>
      <c r="M25" s="91" t="str">
        <f>IF(L25="","",I25)</f>
        <v/>
      </c>
      <c r="N25" s="161" t="str">
        <f>IF(AND(M25&lt;&gt;"",E25&gt;=0),E25,"")</f>
        <v/>
      </c>
    </row>
    <row r="26" spans="1:14" x14ac:dyDescent="0.25">
      <c r="A26" s="115"/>
      <c r="B26" s="115"/>
      <c r="C26" s="116"/>
      <c r="D26" s="116"/>
      <c r="E26" s="116"/>
      <c r="F26" s="104" t="str">
        <f t="shared" si="2"/>
        <v>7.2</v>
      </c>
      <c r="G26" s="135" t="str">
        <f>"odd. B "&amp;F26</f>
        <v>odd. B 7.2</v>
      </c>
      <c r="H26" s="136" t="s">
        <v>18</v>
      </c>
      <c r="I26" s="137"/>
      <c r="J26" s="137"/>
      <c r="K26" s="138"/>
      <c r="L26" s="137"/>
      <c r="M26" s="138"/>
      <c r="N26" s="139"/>
    </row>
    <row r="27" spans="1:14" x14ac:dyDescent="0.25">
      <c r="A27" s="119"/>
      <c r="B27" s="119"/>
      <c r="C27" s="119"/>
      <c r="D27" s="119"/>
      <c r="E27" s="119"/>
      <c r="F27" s="104" t="str">
        <f t="shared" si="2"/>
        <v>7.2</v>
      </c>
      <c r="G27" s="140"/>
      <c r="H27" s="424"/>
      <c r="I27" s="425"/>
      <c r="J27" s="425"/>
      <c r="K27" s="425"/>
      <c r="L27" s="425"/>
      <c r="M27" s="425"/>
      <c r="N27" s="426"/>
    </row>
    <row r="28" spans="1:14" x14ac:dyDescent="0.25">
      <c r="A28" s="16"/>
      <c r="B28" s="16"/>
      <c r="C28" s="100"/>
      <c r="D28" s="100"/>
      <c r="E28" s="100"/>
      <c r="F28" s="104" t="str">
        <f t="shared" si="2"/>
        <v>7.2</v>
      </c>
      <c r="G28" s="151" t="str">
        <f>"odd. C "&amp;F28</f>
        <v>odd. C 7.2</v>
      </c>
      <c r="H28" s="152" t="s">
        <v>19</v>
      </c>
      <c r="I28" s="153"/>
      <c r="J28" s="153"/>
      <c r="K28" s="154"/>
      <c r="L28" s="153"/>
      <c r="M28" s="154"/>
      <c r="N28" s="155"/>
    </row>
    <row r="29" spans="1:14" ht="15.75" thickBot="1" x14ac:dyDescent="0.3">
      <c r="A29" s="117"/>
      <c r="B29" s="117"/>
      <c r="C29" s="117"/>
      <c r="D29" s="117"/>
      <c r="E29" s="117"/>
      <c r="F29" s="104" t="str">
        <f t="shared" si="2"/>
        <v>7.2</v>
      </c>
      <c r="G29" s="156"/>
      <c r="H29" s="427"/>
      <c r="I29" s="428"/>
      <c r="J29" s="428"/>
      <c r="K29" s="428"/>
      <c r="L29" s="428"/>
      <c r="M29" s="428"/>
      <c r="N29" s="429"/>
    </row>
    <row r="30" spans="1:14" collapsed="1" x14ac:dyDescent="0.25">
      <c r="A30" s="72"/>
      <c r="B30" s="72"/>
      <c r="C30" s="96"/>
      <c r="D30" s="96"/>
      <c r="E30" s="96"/>
      <c r="F30" s="105">
        <v>3</v>
      </c>
      <c r="G30" s="13" t="s">
        <v>17</v>
      </c>
      <c r="H30" s="3" t="s">
        <v>230</v>
      </c>
      <c r="I30" s="7"/>
      <c r="J30" s="162" t="str">
        <f>$J$5</f>
        <v>současný stav</v>
      </c>
      <c r="K30" s="130" t="str">
        <f>$K$5</f>
        <v>současný stav</v>
      </c>
      <c r="L30" s="162" t="str">
        <f>$L$5</f>
        <v>plánovaný stav</v>
      </c>
      <c r="M30" s="86" t="str">
        <f>$M$5</f>
        <v>plánovaný stav</v>
      </c>
      <c r="N30" s="157" t="str">
        <f>$N$5</f>
        <v>pokrok</v>
      </c>
    </row>
    <row r="31" spans="1:14" x14ac:dyDescent="0.25">
      <c r="A31" s="73"/>
      <c r="B31" s="73"/>
      <c r="C31" s="97"/>
      <c r="D31" s="97"/>
      <c r="E31" s="97"/>
      <c r="F31" s="108" t="str">
        <f>G31</f>
        <v>7.3</v>
      </c>
      <c r="G31" s="70" t="str">
        <f>$G$2&amp;F30</f>
        <v>7.3</v>
      </c>
      <c r="H31" s="4" t="s">
        <v>232</v>
      </c>
      <c r="I31" s="12"/>
      <c r="J31" s="163" t="str">
        <f>$J$6</f>
        <v>výběr úrovně</v>
      </c>
      <c r="K31" s="131" t="str">
        <f>$K$6</f>
        <v>bodové hodnocení</v>
      </c>
      <c r="L31" s="163" t="str">
        <f>$L$6</f>
        <v>výběr úrovně</v>
      </c>
      <c r="M31" s="88" t="str">
        <f>$M$6</f>
        <v>bodové hodnocení</v>
      </c>
      <c r="N31" s="158" t="str">
        <f>$N$6</f>
        <v>bodové hodnocení</v>
      </c>
    </row>
    <row r="32" spans="1:14" ht="15.75" thickBot="1" x14ac:dyDescent="0.3">
      <c r="A32" s="74"/>
      <c r="B32" s="74"/>
      <c r="C32" s="101"/>
      <c r="D32" s="101"/>
      <c r="E32" s="101"/>
      <c r="F32" s="104" t="str">
        <f t="shared" ref="F32:F39" si="4">F31</f>
        <v>7.3</v>
      </c>
      <c r="G32" s="14"/>
      <c r="H32" s="15"/>
      <c r="I32" s="8"/>
      <c r="J32" s="164"/>
      <c r="K32" s="132" t="str">
        <f>$K$7</f>
        <v>B</v>
      </c>
      <c r="L32" s="164"/>
      <c r="M32" s="89"/>
      <c r="N32" s="159" t="str">
        <f>$N$7</f>
        <v>C</v>
      </c>
    </row>
    <row r="33" spans="1:14" x14ac:dyDescent="0.25">
      <c r="A33" s="69">
        <f>IF(G33="a.",0,IF(G33="b.",1,IF(G33="c.",2,IF(G33="d.",3,IF(G33="e.",4,IF(G33="f.",5,IF(G33="g.",6,IF(G33="h.",7,IF(G33="i.",8,IF(G33="j.",9,""))))))))))</f>
        <v>0</v>
      </c>
      <c r="B33" s="103">
        <f>MAX(A33:A36)</f>
        <v>2</v>
      </c>
      <c r="C33" s="98">
        <f>SUM(K33:K36)</f>
        <v>1</v>
      </c>
      <c r="D33" s="98">
        <f>SUM(M33:M36)</f>
        <v>1</v>
      </c>
      <c r="E33" s="98">
        <f>D33-C33</f>
        <v>0</v>
      </c>
      <c r="F33" s="104" t="str">
        <f t="shared" si="4"/>
        <v>7.3</v>
      </c>
      <c r="G33" s="2" t="s">
        <v>6</v>
      </c>
      <c r="H33" s="1" t="s">
        <v>233</v>
      </c>
      <c r="I33" s="79">
        <f>IF(A33&lt;&gt;"",A33/B33*2,"")</f>
        <v>0</v>
      </c>
      <c r="J33" s="218"/>
      <c r="K33" s="133" t="str">
        <f>IF(J33="","",I33)</f>
        <v/>
      </c>
      <c r="L33" s="218"/>
      <c r="M33" s="90" t="str">
        <f>IF(L33="","",I33)</f>
        <v/>
      </c>
      <c r="N33" s="160" t="str">
        <f>IF(AND(M33&lt;&gt;"",E33&gt;=0),E33,"")</f>
        <v/>
      </c>
    </row>
    <row r="34" spans="1:14" x14ac:dyDescent="0.25">
      <c r="A34" s="69">
        <f>IF(G34="a.",0,IF(G34="b.",1,IF(G34="c.",2,IF(G34="d.",3,IF(G34="e.",4,IF(G34="f.",5,IF(G34="g.",6,IF(G34="h.",7,IF(G34="i.",8,IF(G34="j.",9,""))))))))))</f>
        <v>1</v>
      </c>
      <c r="B34" s="99">
        <f t="shared" ref="B34:B35" si="5">B33</f>
        <v>2</v>
      </c>
      <c r="C34" s="93"/>
      <c r="D34" s="93"/>
      <c r="E34" s="99">
        <f>E33</f>
        <v>0</v>
      </c>
      <c r="F34" s="104" t="str">
        <f t="shared" si="4"/>
        <v>7.3</v>
      </c>
      <c r="G34" s="2" t="s">
        <v>8</v>
      </c>
      <c r="H34" s="1" t="s">
        <v>234</v>
      </c>
      <c r="I34" s="79">
        <f>IF(A34&lt;&gt;"",A34/B34*2,"")</f>
        <v>1</v>
      </c>
      <c r="J34" s="219" t="s">
        <v>298</v>
      </c>
      <c r="K34" s="134">
        <f>IF(J34="","",I34)</f>
        <v>1</v>
      </c>
      <c r="L34" s="219" t="s">
        <v>298</v>
      </c>
      <c r="M34" s="91">
        <f>IF(L34="","",I34)</f>
        <v>1</v>
      </c>
      <c r="N34" s="161">
        <f>IF(AND(M34&lt;&gt;"",E34&gt;=0),E34,"")</f>
        <v>0</v>
      </c>
    </row>
    <row r="35" spans="1:14" x14ac:dyDescent="0.25">
      <c r="A35" s="69">
        <f>IF(G35="a.",0,IF(G35="b.",1,IF(G35="c.",2,IF(G35="d.",3,IF(G35="e.",4,IF(G35="f.",5,IF(G35="g.",6,IF(G35="h.",7,IF(G35="i.",8,IF(G35="j.",9,""))))))))))</f>
        <v>2</v>
      </c>
      <c r="B35" s="99">
        <f t="shared" si="5"/>
        <v>2</v>
      </c>
      <c r="C35" s="93"/>
      <c r="D35" s="93"/>
      <c r="E35" s="99">
        <f>E34</f>
        <v>0</v>
      </c>
      <c r="F35" s="104" t="str">
        <f t="shared" si="4"/>
        <v>7.3</v>
      </c>
      <c r="G35" s="2" t="s">
        <v>10</v>
      </c>
      <c r="H35" s="1" t="s">
        <v>235</v>
      </c>
      <c r="I35" s="79">
        <f>IF(A35&lt;&gt;"",A35/B35*2,"")</f>
        <v>2</v>
      </c>
      <c r="J35" s="219"/>
      <c r="K35" s="134" t="str">
        <f>IF(J35="","",I35)</f>
        <v/>
      </c>
      <c r="L35" s="219"/>
      <c r="M35" s="91" t="str">
        <f>IF(L35="","",I35)</f>
        <v/>
      </c>
      <c r="N35" s="161" t="str">
        <f>IF(AND(M35&lt;&gt;"",E35&gt;=0),E35,"")</f>
        <v/>
      </c>
    </row>
    <row r="36" spans="1:14" x14ac:dyDescent="0.25">
      <c r="A36" s="115"/>
      <c r="B36" s="115"/>
      <c r="C36" s="116"/>
      <c r="D36" s="116"/>
      <c r="E36" s="116"/>
      <c r="F36" s="104" t="str">
        <f t="shared" si="4"/>
        <v>7.3</v>
      </c>
      <c r="G36" s="135" t="str">
        <f>"odd. B "&amp;F36</f>
        <v>odd. B 7.3</v>
      </c>
      <c r="H36" s="136" t="s">
        <v>18</v>
      </c>
      <c r="I36" s="137"/>
      <c r="J36" s="137"/>
      <c r="K36" s="138"/>
      <c r="L36" s="137"/>
      <c r="M36" s="138"/>
      <c r="N36" s="139"/>
    </row>
    <row r="37" spans="1:14" x14ac:dyDescent="0.25">
      <c r="A37" s="119"/>
      <c r="B37" s="119"/>
      <c r="C37" s="119"/>
      <c r="D37" s="119"/>
      <c r="E37" s="119"/>
      <c r="F37" s="104" t="str">
        <f t="shared" si="4"/>
        <v>7.3</v>
      </c>
      <c r="G37" s="140"/>
      <c r="H37" s="424"/>
      <c r="I37" s="425"/>
      <c r="J37" s="425"/>
      <c r="K37" s="425"/>
      <c r="L37" s="425"/>
      <c r="M37" s="425"/>
      <c r="N37" s="426"/>
    </row>
    <row r="38" spans="1:14" x14ac:dyDescent="0.25">
      <c r="A38" s="16"/>
      <c r="B38" s="16"/>
      <c r="C38" s="100"/>
      <c r="D38" s="100"/>
      <c r="E38" s="100"/>
      <c r="F38" s="104" t="str">
        <f t="shared" si="4"/>
        <v>7.3</v>
      </c>
      <c r="G38" s="151" t="str">
        <f>"odd. C "&amp;F38</f>
        <v>odd. C 7.3</v>
      </c>
      <c r="H38" s="152" t="s">
        <v>19</v>
      </c>
      <c r="I38" s="153"/>
      <c r="J38" s="153"/>
      <c r="K38" s="154"/>
      <c r="L38" s="153"/>
      <c r="M38" s="154"/>
      <c r="N38" s="155"/>
    </row>
    <row r="39" spans="1:14" ht="15.75" thickBot="1" x14ac:dyDescent="0.3">
      <c r="A39" s="117"/>
      <c r="B39" s="117"/>
      <c r="C39" s="117"/>
      <c r="D39" s="117"/>
      <c r="E39" s="117"/>
      <c r="F39" s="104" t="str">
        <f t="shared" si="4"/>
        <v>7.3</v>
      </c>
      <c r="G39" s="156"/>
      <c r="H39" s="427"/>
      <c r="I39" s="428"/>
      <c r="J39" s="428"/>
      <c r="K39" s="428"/>
      <c r="L39" s="428"/>
      <c r="M39" s="428"/>
      <c r="N39" s="429"/>
    </row>
    <row r="40" spans="1:14" collapsed="1" x14ac:dyDescent="0.25">
      <c r="A40" s="72"/>
      <c r="B40" s="72"/>
      <c r="C40" s="96"/>
      <c r="D40" s="96"/>
      <c r="E40" s="96"/>
      <c r="F40" s="105">
        <v>4</v>
      </c>
      <c r="G40" s="13" t="s">
        <v>17</v>
      </c>
      <c r="H40" s="3" t="s">
        <v>236</v>
      </c>
      <c r="I40" s="7"/>
      <c r="J40" s="162" t="str">
        <f>$J$5</f>
        <v>současný stav</v>
      </c>
      <c r="K40" s="130" t="str">
        <f>$K$5</f>
        <v>současný stav</v>
      </c>
      <c r="L40" s="162" t="str">
        <f>$L$5</f>
        <v>plánovaný stav</v>
      </c>
      <c r="M40" s="86" t="str">
        <f>$M$5</f>
        <v>plánovaný stav</v>
      </c>
      <c r="N40" s="157" t="str">
        <f>$N$5</f>
        <v>pokrok</v>
      </c>
    </row>
    <row r="41" spans="1:14" x14ac:dyDescent="0.25">
      <c r="A41" s="73"/>
      <c r="B41" s="73"/>
      <c r="C41" s="97"/>
      <c r="D41" s="97"/>
      <c r="E41" s="97"/>
      <c r="F41" s="108" t="str">
        <f>G41</f>
        <v>7.4</v>
      </c>
      <c r="G41" s="70" t="str">
        <f>$G$2&amp;F40</f>
        <v>7.4</v>
      </c>
      <c r="H41" s="4" t="s">
        <v>237</v>
      </c>
      <c r="I41" s="12"/>
      <c r="J41" s="163" t="str">
        <f>$J$6</f>
        <v>výběr úrovně</v>
      </c>
      <c r="K41" s="131" t="str">
        <f>$K$6</f>
        <v>bodové hodnocení</v>
      </c>
      <c r="L41" s="163" t="str">
        <f>$L$6</f>
        <v>výběr úrovně</v>
      </c>
      <c r="M41" s="88" t="str">
        <f>$M$6</f>
        <v>bodové hodnocení</v>
      </c>
      <c r="N41" s="158" t="str">
        <f>$N$6</f>
        <v>bodové hodnocení</v>
      </c>
    </row>
    <row r="42" spans="1:14" ht="15.75" thickBot="1" x14ac:dyDescent="0.3">
      <c r="A42" s="74"/>
      <c r="B42" s="74"/>
      <c r="C42" s="101"/>
      <c r="D42" s="101"/>
      <c r="E42" s="101"/>
      <c r="F42" s="104" t="str">
        <f t="shared" ref="F42:F59" si="6">F41</f>
        <v>7.4</v>
      </c>
      <c r="G42" s="14"/>
      <c r="H42" s="15"/>
      <c r="I42" s="8"/>
      <c r="J42" s="164"/>
      <c r="K42" s="132" t="str">
        <f>$K$7</f>
        <v>B</v>
      </c>
      <c r="L42" s="164"/>
      <c r="M42" s="89"/>
      <c r="N42" s="159" t="str">
        <f>$N$7</f>
        <v>C</v>
      </c>
    </row>
    <row r="43" spans="1:14" x14ac:dyDescent="0.25">
      <c r="A43" s="69">
        <f>IF(G43="a.",0,IF(G43="b.",1,IF(G43="c.",2,IF(G43="d.",3,IF(G43="e.",4,IF(G43="f.",5,IF(G43="g.",6,IF(G43="h.",7,IF(G43="i.",8,IF(G43="j.",9,""))))))))))</f>
        <v>0</v>
      </c>
      <c r="B43" s="103">
        <f>MAX(A43:A46)</f>
        <v>2</v>
      </c>
      <c r="C43" s="98">
        <f>SUM(K43:K46)</f>
        <v>1</v>
      </c>
      <c r="D43" s="98">
        <f>SUM(M43:M46)</f>
        <v>1</v>
      </c>
      <c r="E43" s="98">
        <f>D43-C43</f>
        <v>0</v>
      </c>
      <c r="F43" s="104" t="str">
        <f t="shared" si="6"/>
        <v>7.4</v>
      </c>
      <c r="G43" s="2" t="s">
        <v>6</v>
      </c>
      <c r="H43" s="1" t="s">
        <v>227</v>
      </c>
      <c r="I43" s="79">
        <f>IF(A43&lt;&gt;"",A43/B43*2,"")</f>
        <v>0</v>
      </c>
      <c r="J43" s="218"/>
      <c r="K43" s="133" t="str">
        <f>IF(J43="","",I43)</f>
        <v/>
      </c>
      <c r="L43" s="218"/>
      <c r="M43" s="90" t="str">
        <f>IF(L43="","",I43)</f>
        <v/>
      </c>
      <c r="N43" s="160" t="str">
        <f>IF(AND(M43&lt;&gt;"",E43&gt;=0),E43,"")</f>
        <v/>
      </c>
    </row>
    <row r="44" spans="1:14" x14ac:dyDescent="0.25">
      <c r="A44" s="69">
        <f>IF(G44="a.",0,IF(G44="b.",1,IF(G44="c.",2,IF(G44="d.",3,IF(G44="e.",4,IF(G44="f.",5,IF(G44="g.",6,IF(G44="h.",7,IF(G44="i.",8,IF(G44="j.",9,""))))))))))</f>
        <v>1</v>
      </c>
      <c r="B44" s="99">
        <f t="shared" ref="B44:B45" si="7">B43</f>
        <v>2</v>
      </c>
      <c r="C44" s="93"/>
      <c r="D44" s="93"/>
      <c r="E44" s="99">
        <f>E43</f>
        <v>0</v>
      </c>
      <c r="F44" s="104" t="str">
        <f t="shared" si="6"/>
        <v>7.4</v>
      </c>
      <c r="G44" s="2" t="s">
        <v>8</v>
      </c>
      <c r="H44" s="1" t="s">
        <v>238</v>
      </c>
      <c r="I44" s="79">
        <f>IF(A44&lt;&gt;"",A44/B44*2,"")</f>
        <v>1</v>
      </c>
      <c r="J44" s="219" t="s">
        <v>298</v>
      </c>
      <c r="K44" s="134">
        <f>IF(J44="","",I44)</f>
        <v>1</v>
      </c>
      <c r="L44" s="219" t="s">
        <v>298</v>
      </c>
      <c r="M44" s="91">
        <f>IF(L44="","",I44)</f>
        <v>1</v>
      </c>
      <c r="N44" s="161">
        <f>IF(AND(M44&lt;&gt;"",E44&gt;=0),E44,"")</f>
        <v>0</v>
      </c>
    </row>
    <row r="45" spans="1:14" x14ac:dyDescent="0.25">
      <c r="A45" s="69">
        <f>IF(G45="a.",0,IF(G45="b.",1,IF(G45="c.",2,IF(G45="d.",3,IF(G45="e.",4,IF(G45="f.",5,IF(G45="g.",6,IF(G45="h.",7,IF(G45="i.",8,IF(G45="j.",9,""))))))))))</f>
        <v>2</v>
      </c>
      <c r="B45" s="99">
        <f t="shared" si="7"/>
        <v>2</v>
      </c>
      <c r="C45" s="93"/>
      <c r="D45" s="93"/>
      <c r="E45" s="99">
        <f>E44</f>
        <v>0</v>
      </c>
      <c r="F45" s="104" t="str">
        <f t="shared" si="6"/>
        <v>7.4</v>
      </c>
      <c r="G45" s="2" t="s">
        <v>10</v>
      </c>
      <c r="H45" s="1" t="s">
        <v>229</v>
      </c>
      <c r="I45" s="79">
        <f>IF(A45&lt;&gt;"",A45/B45*2,"")</f>
        <v>2</v>
      </c>
      <c r="J45" s="219"/>
      <c r="K45" s="134" t="str">
        <f>IF(J45="","",I45)</f>
        <v/>
      </c>
      <c r="L45" s="219"/>
      <c r="M45" s="91" t="str">
        <f>IF(L45="","",I45)</f>
        <v/>
      </c>
      <c r="N45" s="161" t="str">
        <f>IF(AND(M45&lt;&gt;"",E45&gt;=0),E45,"")</f>
        <v/>
      </c>
    </row>
    <row r="46" spans="1:14" x14ac:dyDescent="0.25">
      <c r="A46" s="115"/>
      <c r="B46" s="115"/>
      <c r="C46" s="116"/>
      <c r="D46" s="116"/>
      <c r="E46" s="116"/>
      <c r="F46" s="104" t="str">
        <f t="shared" si="6"/>
        <v>7.4</v>
      </c>
      <c r="G46" s="135" t="str">
        <f>"odd. B "&amp;F46</f>
        <v>odd. B 7.4</v>
      </c>
      <c r="H46" s="136" t="s">
        <v>18</v>
      </c>
      <c r="I46" s="137"/>
      <c r="J46" s="137"/>
      <c r="K46" s="138"/>
      <c r="L46" s="137"/>
      <c r="M46" s="138"/>
      <c r="N46" s="139"/>
    </row>
    <row r="47" spans="1:14" x14ac:dyDescent="0.25">
      <c r="A47" s="119"/>
      <c r="B47" s="119"/>
      <c r="C47" s="119"/>
      <c r="D47" s="119"/>
      <c r="E47" s="119"/>
      <c r="F47" s="104" t="str">
        <f t="shared" si="6"/>
        <v>7.4</v>
      </c>
      <c r="G47" s="140"/>
      <c r="H47" s="424"/>
      <c r="I47" s="425"/>
      <c r="J47" s="425"/>
      <c r="K47" s="425"/>
      <c r="L47" s="425"/>
      <c r="M47" s="425"/>
      <c r="N47" s="426"/>
    </row>
    <row r="48" spans="1:14" x14ac:dyDescent="0.25">
      <c r="A48" s="16"/>
      <c r="B48" s="16"/>
      <c r="C48" s="100"/>
      <c r="D48" s="100"/>
      <c r="E48" s="100"/>
      <c r="F48" s="104" t="str">
        <f t="shared" si="6"/>
        <v>7.4</v>
      </c>
      <c r="G48" s="151" t="str">
        <f>"odd. C "&amp;F48</f>
        <v>odd. C 7.4</v>
      </c>
      <c r="H48" s="152" t="s">
        <v>19</v>
      </c>
      <c r="I48" s="153"/>
      <c r="J48" s="153"/>
      <c r="K48" s="154"/>
      <c r="L48" s="153"/>
      <c r="M48" s="154"/>
      <c r="N48" s="155"/>
    </row>
    <row r="49" spans="1:14" ht="15.75" thickBot="1" x14ac:dyDescent="0.3">
      <c r="A49" s="117"/>
      <c r="B49" s="117"/>
      <c r="C49" s="117"/>
      <c r="D49" s="117"/>
      <c r="E49" s="117"/>
      <c r="F49" s="104" t="str">
        <f t="shared" si="6"/>
        <v>7.4</v>
      </c>
      <c r="G49" s="156"/>
      <c r="H49" s="427"/>
      <c r="I49" s="428"/>
      <c r="J49" s="428"/>
      <c r="K49" s="428"/>
      <c r="L49" s="428"/>
      <c r="M49" s="428"/>
      <c r="N49" s="429"/>
    </row>
    <row r="50" spans="1:14" collapsed="1" x14ac:dyDescent="0.25">
      <c r="A50" s="72"/>
      <c r="B50" s="72"/>
      <c r="C50" s="96"/>
      <c r="D50" s="96"/>
      <c r="E50" s="96"/>
      <c r="F50" s="105">
        <v>5</v>
      </c>
      <c r="G50" s="13" t="s">
        <v>17</v>
      </c>
      <c r="H50" s="3" t="s">
        <v>239</v>
      </c>
      <c r="I50" s="7"/>
      <c r="J50" s="162" t="str">
        <f>$J$5</f>
        <v>současný stav</v>
      </c>
      <c r="K50" s="130" t="str">
        <f>$K$5</f>
        <v>současný stav</v>
      </c>
      <c r="L50" s="162" t="str">
        <f>$L$5</f>
        <v>plánovaný stav</v>
      </c>
      <c r="M50" s="86" t="str">
        <f>$M$5</f>
        <v>plánovaný stav</v>
      </c>
      <c r="N50" s="157" t="str">
        <f>$N$5</f>
        <v>pokrok</v>
      </c>
    </row>
    <row r="51" spans="1:14" ht="24" x14ac:dyDescent="0.25">
      <c r="A51" s="73"/>
      <c r="B51" s="73"/>
      <c r="C51" s="97"/>
      <c r="D51" s="97"/>
      <c r="E51" s="97"/>
      <c r="F51" s="108" t="str">
        <f>G51</f>
        <v>7.5</v>
      </c>
      <c r="G51" s="70" t="str">
        <f>$G$2&amp;F50</f>
        <v>7.5</v>
      </c>
      <c r="H51" s="4" t="s">
        <v>240</v>
      </c>
      <c r="I51" s="12"/>
      <c r="J51" s="163" t="str">
        <f>$J$6</f>
        <v>výběr úrovně</v>
      </c>
      <c r="K51" s="131" t="str">
        <f>$K$6</f>
        <v>bodové hodnocení</v>
      </c>
      <c r="L51" s="163" t="str">
        <f>$L$6</f>
        <v>výběr úrovně</v>
      </c>
      <c r="M51" s="88" t="str">
        <f>$M$6</f>
        <v>bodové hodnocení</v>
      </c>
      <c r="N51" s="158" t="str">
        <f>$N$6</f>
        <v>bodové hodnocení</v>
      </c>
    </row>
    <row r="52" spans="1:14" ht="15.75" thickBot="1" x14ac:dyDescent="0.3">
      <c r="A52" s="74"/>
      <c r="B52" s="74"/>
      <c r="C52" s="101"/>
      <c r="D52" s="101"/>
      <c r="E52" s="101"/>
      <c r="F52" s="104" t="str">
        <f t="shared" si="6"/>
        <v>7.5</v>
      </c>
      <c r="G52" s="14"/>
      <c r="H52" s="15"/>
      <c r="I52" s="8"/>
      <c r="J52" s="164"/>
      <c r="K52" s="132" t="str">
        <f>$K$7</f>
        <v>B</v>
      </c>
      <c r="L52" s="164"/>
      <c r="M52" s="89"/>
      <c r="N52" s="159" t="str">
        <f>$N$7</f>
        <v>C</v>
      </c>
    </row>
    <row r="53" spans="1:14" x14ac:dyDescent="0.25">
      <c r="A53" s="69">
        <f>IF(G53="a.",0,IF(G53="b.",1,IF(G53="c.",2,IF(G53="d.",3,IF(G53="e.",4,IF(G53="f.",5,IF(G53="g.",6,IF(G53="h.",7,IF(G53="i.",8,IF(G53="j.",9,""))))))))))</f>
        <v>0</v>
      </c>
      <c r="B53" s="103">
        <f>MAX(A53:A56)</f>
        <v>2</v>
      </c>
      <c r="C53" s="98">
        <f>SUM(K53:K56)</f>
        <v>1</v>
      </c>
      <c r="D53" s="98">
        <f>SUM(M53:M56)</f>
        <v>1</v>
      </c>
      <c r="E53" s="98">
        <f>D53-C53</f>
        <v>0</v>
      </c>
      <c r="F53" s="104" t="str">
        <f t="shared" si="6"/>
        <v>7.5</v>
      </c>
      <c r="G53" s="2" t="s">
        <v>6</v>
      </c>
      <c r="H53" s="1" t="s">
        <v>7</v>
      </c>
      <c r="I53" s="79">
        <f>IF(A53&lt;&gt;"",A53/B53*2,"")</f>
        <v>0</v>
      </c>
      <c r="J53" s="218"/>
      <c r="K53" s="133" t="str">
        <f>IF(J53="","",I53)</f>
        <v/>
      </c>
      <c r="L53" s="218"/>
      <c r="M53" s="90" t="str">
        <f>IF(L53="","",I53)</f>
        <v/>
      </c>
      <c r="N53" s="160" t="str">
        <f>IF(AND(M53&lt;&gt;"",E53&gt;=0),E53,"")</f>
        <v/>
      </c>
    </row>
    <row r="54" spans="1:14" x14ac:dyDescent="0.25">
      <c r="A54" s="69">
        <f>IF(G54="a.",0,IF(G54="b.",1,IF(G54="c.",2,IF(G54="d.",3,IF(G54="e.",4,IF(G54="f.",5,IF(G54="g.",6,IF(G54="h.",7,IF(G54="i.",8,IF(G54="j.",9,""))))))))))</f>
        <v>1</v>
      </c>
      <c r="B54" s="99">
        <f t="shared" ref="B54:B55" si="8">B53</f>
        <v>2</v>
      </c>
      <c r="C54" s="93"/>
      <c r="D54" s="93"/>
      <c r="E54" s="99">
        <f>E53</f>
        <v>0</v>
      </c>
      <c r="F54" s="104" t="str">
        <f t="shared" si="6"/>
        <v>7.5</v>
      </c>
      <c r="G54" s="2" t="s">
        <v>8</v>
      </c>
      <c r="H54" s="1" t="s">
        <v>241</v>
      </c>
      <c r="I54" s="79">
        <f>IF(A54&lt;&gt;"",A54/B54*2,"")</f>
        <v>1</v>
      </c>
      <c r="J54" s="219" t="s">
        <v>298</v>
      </c>
      <c r="K54" s="134">
        <f>IF(J54="","",I54)</f>
        <v>1</v>
      </c>
      <c r="L54" s="219" t="s">
        <v>298</v>
      </c>
      <c r="M54" s="91">
        <f>IF(L54="","",I54)</f>
        <v>1</v>
      </c>
      <c r="N54" s="161">
        <f>IF(AND(M54&lt;&gt;"",E54&gt;=0),E54,"")</f>
        <v>0</v>
      </c>
    </row>
    <row r="55" spans="1:14" x14ac:dyDescent="0.25">
      <c r="A55" s="69">
        <f>IF(G55="a.",0,IF(G55="b.",1,IF(G55="c.",2,IF(G55="d.",3,IF(G55="e.",4,IF(G55="f.",5,IF(G55="g.",6,IF(G55="h.",7,IF(G55="i.",8,IF(G55="j.",9,""))))))))))</f>
        <v>2</v>
      </c>
      <c r="B55" s="99">
        <f t="shared" si="8"/>
        <v>2</v>
      </c>
      <c r="C55" s="93"/>
      <c r="D55" s="93"/>
      <c r="E55" s="99">
        <f>E54</f>
        <v>0</v>
      </c>
      <c r="F55" s="104" t="str">
        <f t="shared" si="6"/>
        <v>7.5</v>
      </c>
      <c r="G55" s="2" t="s">
        <v>10</v>
      </c>
      <c r="H55" s="1" t="s">
        <v>242</v>
      </c>
      <c r="I55" s="79">
        <f>IF(A55&lt;&gt;"",A55/B55*2,"")</f>
        <v>2</v>
      </c>
      <c r="J55" s="219"/>
      <c r="K55" s="134" t="str">
        <f>IF(J55="","",I55)</f>
        <v/>
      </c>
      <c r="L55" s="219"/>
      <c r="M55" s="91" t="str">
        <f>IF(L55="","",I55)</f>
        <v/>
      </c>
      <c r="N55" s="161" t="str">
        <f>IF(AND(M55&lt;&gt;"",E55&gt;=0),E55,"")</f>
        <v/>
      </c>
    </row>
    <row r="56" spans="1:14" x14ac:dyDescent="0.25">
      <c r="A56" s="115"/>
      <c r="B56" s="115"/>
      <c r="C56" s="116"/>
      <c r="D56" s="116"/>
      <c r="E56" s="116"/>
      <c r="F56" s="104" t="str">
        <f t="shared" si="6"/>
        <v>7.5</v>
      </c>
      <c r="G56" s="135" t="str">
        <f>"odd. B "&amp;F56</f>
        <v>odd. B 7.5</v>
      </c>
      <c r="H56" s="136" t="s">
        <v>18</v>
      </c>
      <c r="I56" s="137"/>
      <c r="J56" s="137"/>
      <c r="K56" s="138"/>
      <c r="L56" s="137"/>
      <c r="M56" s="138"/>
      <c r="N56" s="139"/>
    </row>
    <row r="57" spans="1:14" x14ac:dyDescent="0.25">
      <c r="A57" s="119"/>
      <c r="B57" s="119"/>
      <c r="C57" s="119"/>
      <c r="D57" s="119"/>
      <c r="E57" s="119"/>
      <c r="F57" s="104" t="str">
        <f t="shared" si="6"/>
        <v>7.5</v>
      </c>
      <c r="G57" s="140"/>
      <c r="H57" s="424"/>
      <c r="I57" s="425"/>
      <c r="J57" s="425"/>
      <c r="K57" s="425"/>
      <c r="L57" s="425"/>
      <c r="M57" s="425"/>
      <c r="N57" s="426"/>
    </row>
    <row r="58" spans="1:14" x14ac:dyDescent="0.25">
      <c r="A58" s="16"/>
      <c r="B58" s="16"/>
      <c r="C58" s="100"/>
      <c r="D58" s="100"/>
      <c r="E58" s="100"/>
      <c r="F58" s="104" t="str">
        <f t="shared" si="6"/>
        <v>7.5</v>
      </c>
      <c r="G58" s="151" t="str">
        <f>"odd. C "&amp;F58</f>
        <v>odd. C 7.5</v>
      </c>
      <c r="H58" s="152" t="s">
        <v>19</v>
      </c>
      <c r="I58" s="153"/>
      <c r="J58" s="153"/>
      <c r="K58" s="154"/>
      <c r="L58" s="153"/>
      <c r="M58" s="154"/>
      <c r="N58" s="155"/>
    </row>
    <row r="59" spans="1:14" ht="15.75" thickBot="1" x14ac:dyDescent="0.3">
      <c r="A59" s="117"/>
      <c r="B59" s="117"/>
      <c r="C59" s="117"/>
      <c r="D59" s="117"/>
      <c r="E59" s="117"/>
      <c r="F59" s="104" t="str">
        <f t="shared" si="6"/>
        <v>7.5</v>
      </c>
      <c r="G59" s="156"/>
      <c r="H59" s="427"/>
      <c r="I59" s="428"/>
      <c r="J59" s="428"/>
      <c r="K59" s="428"/>
      <c r="L59" s="428"/>
      <c r="M59" s="428"/>
      <c r="N59" s="429"/>
    </row>
    <row r="60" spans="1:14" collapsed="1" x14ac:dyDescent="0.25">
      <c r="A60" s="72"/>
      <c r="B60" s="72"/>
      <c r="C60" s="96"/>
      <c r="D60" s="96"/>
      <c r="E60" s="96"/>
      <c r="F60" s="105">
        <v>6</v>
      </c>
      <c r="G60" s="13" t="s">
        <v>17</v>
      </c>
      <c r="H60" s="3" t="s">
        <v>239</v>
      </c>
      <c r="I60" s="7"/>
      <c r="J60" s="162" t="str">
        <f>$J$5</f>
        <v>současný stav</v>
      </c>
      <c r="K60" s="130" t="str">
        <f>$K$5</f>
        <v>současný stav</v>
      </c>
      <c r="L60" s="162" t="str">
        <f>$L$5</f>
        <v>plánovaný stav</v>
      </c>
      <c r="M60" s="86" t="str">
        <f>$M$5</f>
        <v>plánovaný stav</v>
      </c>
      <c r="N60" s="157" t="str">
        <f>$N$5</f>
        <v>pokrok</v>
      </c>
    </row>
    <row r="61" spans="1:14" x14ac:dyDescent="0.25">
      <c r="A61" s="73"/>
      <c r="B61" s="73"/>
      <c r="C61" s="97"/>
      <c r="D61" s="97"/>
      <c r="E61" s="97"/>
      <c r="F61" s="108" t="str">
        <f>G61</f>
        <v>7.6</v>
      </c>
      <c r="G61" s="70" t="str">
        <f>$G$2&amp;F60</f>
        <v>7.6</v>
      </c>
      <c r="H61" s="4" t="s">
        <v>244</v>
      </c>
      <c r="I61" s="12"/>
      <c r="J61" s="163" t="str">
        <f>$J$6</f>
        <v>výběr úrovně</v>
      </c>
      <c r="K61" s="131" t="str">
        <f>$K$6</f>
        <v>bodové hodnocení</v>
      </c>
      <c r="L61" s="163" t="str">
        <f>$L$6</f>
        <v>výběr úrovně</v>
      </c>
      <c r="M61" s="88" t="str">
        <f>$M$6</f>
        <v>bodové hodnocení</v>
      </c>
      <c r="N61" s="158" t="str">
        <f>$N$6</f>
        <v>bodové hodnocení</v>
      </c>
    </row>
    <row r="62" spans="1:14" ht="15.75" thickBot="1" x14ac:dyDescent="0.3">
      <c r="A62" s="74"/>
      <c r="B62" s="74"/>
      <c r="C62" s="101"/>
      <c r="D62" s="101"/>
      <c r="E62" s="101"/>
      <c r="F62" s="104" t="str">
        <f t="shared" ref="F62:F71" si="9">F61</f>
        <v>7.6</v>
      </c>
      <c r="G62" s="14"/>
      <c r="H62" s="15"/>
      <c r="I62" s="8"/>
      <c r="J62" s="164"/>
      <c r="K62" s="132" t="str">
        <f>$K$7</f>
        <v>B</v>
      </c>
      <c r="L62" s="164"/>
      <c r="M62" s="89"/>
      <c r="N62" s="159" t="str">
        <f>$N$7</f>
        <v>C</v>
      </c>
    </row>
    <row r="63" spans="1:14" x14ac:dyDescent="0.25">
      <c r="A63" s="69">
        <f>IF(G63="a.",0,IF(G63="b.",1,IF(G63="c.",2,IF(G63="d.",3,IF(G63="e.",4,IF(G63="f.",5,IF(G63="g.",6,IF(G63="h.",7,IF(G63="i.",8,IF(G63="j.",9,""))))))))))</f>
        <v>0</v>
      </c>
      <c r="B63" s="103">
        <f>MAX(A63:A68)</f>
        <v>4</v>
      </c>
      <c r="C63" s="98">
        <f>SUM(K63:K68)</f>
        <v>0</v>
      </c>
      <c r="D63" s="98">
        <f>SUM(M63:M68)</f>
        <v>0.5</v>
      </c>
      <c r="E63" s="98">
        <f>D63-C63</f>
        <v>0.5</v>
      </c>
      <c r="F63" s="104" t="str">
        <f t="shared" si="9"/>
        <v>7.6</v>
      </c>
      <c r="G63" s="2" t="s">
        <v>6</v>
      </c>
      <c r="H63" s="1" t="s">
        <v>245</v>
      </c>
      <c r="I63" s="79">
        <f>IF(A63&lt;&gt;"",A63/B63*2,"")</f>
        <v>0</v>
      </c>
      <c r="J63" s="218" t="s">
        <v>298</v>
      </c>
      <c r="K63" s="133">
        <f>IF(J63="","",I63)</f>
        <v>0</v>
      </c>
      <c r="L63" s="218"/>
      <c r="M63" s="90" t="str">
        <f>IF(L63="","",I63)</f>
        <v/>
      </c>
      <c r="N63" s="160" t="str">
        <f>IF(AND(M63&lt;&gt;"",E63&gt;=0),E63,"")</f>
        <v/>
      </c>
    </row>
    <row r="64" spans="1:14" x14ac:dyDescent="0.25">
      <c r="A64" s="69">
        <f>IF(G64="a.",0,IF(G64="b.",1,IF(G64="c.",2,IF(G64="d.",3,IF(G64="e.",4,IF(G64="f.",5,IF(G64="g.",6,IF(G64="h.",7,IF(G64="i.",8,IF(G64="j.",9,""))))))))))</f>
        <v>1</v>
      </c>
      <c r="B64" s="99">
        <f t="shared" ref="B64" si="10">B63</f>
        <v>4</v>
      </c>
      <c r="C64" s="93"/>
      <c r="D64" s="93"/>
      <c r="E64" s="99">
        <f>E63</f>
        <v>0.5</v>
      </c>
      <c r="F64" s="104" t="str">
        <f t="shared" si="9"/>
        <v>7.6</v>
      </c>
      <c r="G64" s="2" t="s">
        <v>8</v>
      </c>
      <c r="H64" s="1" t="s">
        <v>246</v>
      </c>
      <c r="I64" s="79">
        <f>IF(A64&lt;&gt;"",A64/B64*2,"")</f>
        <v>0.5</v>
      </c>
      <c r="J64" s="219"/>
      <c r="K64" s="134" t="str">
        <f>IF(J64="","",I64)</f>
        <v/>
      </c>
      <c r="L64" s="219" t="s">
        <v>298</v>
      </c>
      <c r="M64" s="91">
        <f>IF(L64="","",I64)</f>
        <v>0.5</v>
      </c>
      <c r="N64" s="161">
        <f>IF(AND(M64&lt;&gt;"",E64&gt;=0),E64,"")</f>
        <v>0.5</v>
      </c>
    </row>
    <row r="65" spans="1:14" x14ac:dyDescent="0.25">
      <c r="A65" s="69">
        <f t="shared" ref="A65:A67" si="11">IF(G65="a.",0,IF(G65="b.",1,IF(G65="c.",2,IF(G65="d.",3,IF(G65="e.",4,IF(G65="f.",5,IF(G65="g.",6,IF(G65="h.",7,IF(G65="i.",8,IF(G65="j.",9,""))))))))))</f>
        <v>2</v>
      </c>
      <c r="B65" s="99">
        <f t="shared" ref="B65:B67" si="12">B64</f>
        <v>4</v>
      </c>
      <c r="C65" s="93"/>
      <c r="D65" s="93"/>
      <c r="E65" s="99">
        <f t="shared" ref="E65:E67" si="13">E64</f>
        <v>0.5</v>
      </c>
      <c r="F65" s="104" t="s">
        <v>243</v>
      </c>
      <c r="G65" s="2" t="s">
        <v>10</v>
      </c>
      <c r="H65" s="1" t="s">
        <v>247</v>
      </c>
      <c r="I65" s="79">
        <f>IF(A65&lt;&gt;"",A65/B65*2,"")</f>
        <v>1</v>
      </c>
      <c r="J65" s="219"/>
      <c r="K65" s="134" t="str">
        <f>IF(J65="","",I65)</f>
        <v/>
      </c>
      <c r="L65" s="219"/>
      <c r="M65" s="91" t="str">
        <f t="shared" ref="M65:M67" si="14">IF(L65="","",I65)</f>
        <v/>
      </c>
      <c r="N65" s="161" t="str">
        <f>IF(AND(M65&lt;&gt;"",E65&gt;=0),E65,"")</f>
        <v/>
      </c>
    </row>
    <row r="66" spans="1:14" x14ac:dyDescent="0.25">
      <c r="A66" s="69">
        <f t="shared" si="11"/>
        <v>3</v>
      </c>
      <c r="B66" s="99">
        <f t="shared" si="12"/>
        <v>4</v>
      </c>
      <c r="C66" s="93"/>
      <c r="D66" s="93"/>
      <c r="E66" s="99">
        <f t="shared" si="13"/>
        <v>0.5</v>
      </c>
      <c r="F66" s="104" t="s">
        <v>243</v>
      </c>
      <c r="G66" s="2" t="s">
        <v>68</v>
      </c>
      <c r="H66" s="1" t="s">
        <v>248</v>
      </c>
      <c r="I66" s="79">
        <f>IF(A66&lt;&gt;"",A66/B66*2,"")</f>
        <v>1.5</v>
      </c>
      <c r="J66" s="219"/>
      <c r="K66" s="134" t="str">
        <f>IF(J66="","",I66)</f>
        <v/>
      </c>
      <c r="L66" s="219"/>
      <c r="M66" s="91" t="str">
        <f t="shared" si="14"/>
        <v/>
      </c>
      <c r="N66" s="161" t="str">
        <f>IF(AND(M66&lt;&gt;"",E66&gt;=0),E66,"")</f>
        <v/>
      </c>
    </row>
    <row r="67" spans="1:14" x14ac:dyDescent="0.25">
      <c r="A67" s="69">
        <f t="shared" si="11"/>
        <v>4</v>
      </c>
      <c r="B67" s="99">
        <f t="shared" si="12"/>
        <v>4</v>
      </c>
      <c r="C67" s="93"/>
      <c r="D67" s="93"/>
      <c r="E67" s="99">
        <f t="shared" si="13"/>
        <v>0.5</v>
      </c>
      <c r="F67" s="104" t="str">
        <f t="shared" si="9"/>
        <v>7.6</v>
      </c>
      <c r="G67" s="2" t="s">
        <v>92</v>
      </c>
      <c r="H67" s="1" t="s">
        <v>249</v>
      </c>
      <c r="I67" s="79">
        <f>IF(A67&lt;&gt;"",A67/B67*2,"")</f>
        <v>2</v>
      </c>
      <c r="J67" s="219"/>
      <c r="K67" s="134" t="str">
        <f>IF(J67="","",I67)</f>
        <v/>
      </c>
      <c r="L67" s="219"/>
      <c r="M67" s="91" t="str">
        <f t="shared" si="14"/>
        <v/>
      </c>
      <c r="N67" s="161" t="str">
        <f>IF(AND(M67&lt;&gt;"",E67&gt;=0),E67,"")</f>
        <v/>
      </c>
    </row>
    <row r="68" spans="1:14" x14ac:dyDescent="0.25">
      <c r="A68" s="115"/>
      <c r="B68" s="115"/>
      <c r="C68" s="116"/>
      <c r="D68" s="116"/>
      <c r="E68" s="116"/>
      <c r="F68" s="104" t="str">
        <f t="shared" si="9"/>
        <v>7.6</v>
      </c>
      <c r="G68" s="135" t="str">
        <f>"odd. B "&amp;F68</f>
        <v>odd. B 7.6</v>
      </c>
      <c r="H68" s="136" t="s">
        <v>18</v>
      </c>
      <c r="I68" s="137"/>
      <c r="J68" s="137"/>
      <c r="K68" s="138"/>
      <c r="L68" s="137"/>
      <c r="M68" s="138"/>
      <c r="N68" s="139"/>
    </row>
    <row r="69" spans="1:14" x14ac:dyDescent="0.25">
      <c r="A69" s="119"/>
      <c r="B69" s="119"/>
      <c r="C69" s="119"/>
      <c r="D69" s="119"/>
      <c r="E69" s="119"/>
      <c r="F69" s="104" t="str">
        <f t="shared" si="9"/>
        <v>7.6</v>
      </c>
      <c r="G69" s="140"/>
      <c r="H69" s="424"/>
      <c r="I69" s="425"/>
      <c r="J69" s="425"/>
      <c r="K69" s="425"/>
      <c r="L69" s="425"/>
      <c r="M69" s="425"/>
      <c r="N69" s="426"/>
    </row>
    <row r="70" spans="1:14" x14ac:dyDescent="0.25">
      <c r="A70" s="16"/>
      <c r="B70" s="16"/>
      <c r="C70" s="100"/>
      <c r="D70" s="100"/>
      <c r="E70" s="100"/>
      <c r="F70" s="104" t="str">
        <f t="shared" si="9"/>
        <v>7.6</v>
      </c>
      <c r="G70" s="151" t="str">
        <f>"odd. C "&amp;F70</f>
        <v>odd. C 7.6</v>
      </c>
      <c r="H70" s="152" t="s">
        <v>19</v>
      </c>
      <c r="I70" s="153"/>
      <c r="J70" s="153"/>
      <c r="K70" s="154"/>
      <c r="L70" s="153"/>
      <c r="M70" s="154"/>
      <c r="N70" s="155"/>
    </row>
    <row r="71" spans="1:14" ht="15.75" thickBot="1" x14ac:dyDescent="0.3">
      <c r="A71" s="117"/>
      <c r="B71" s="117"/>
      <c r="C71" s="117"/>
      <c r="D71" s="117"/>
      <c r="E71" s="117"/>
      <c r="F71" s="104" t="str">
        <f t="shared" si="9"/>
        <v>7.6</v>
      </c>
      <c r="G71" s="156"/>
      <c r="H71" s="427"/>
      <c r="I71" s="428"/>
      <c r="J71" s="428"/>
      <c r="K71" s="428"/>
      <c r="L71" s="428"/>
      <c r="M71" s="428"/>
      <c r="N71" s="429"/>
    </row>
  </sheetData>
  <sheetProtection algorithmName="SHA-512" hashValue="GArT6yNqolrR/iL6DX+VVW+4VJJH4xFcF2gG+Z37x+6OW16utMdeJPWnu1bfiOt4rHsaqrCpl1e3UYRSyaJO1w==" saltValue="tsx93fxCcc+mJ6ot/Wy8AA==" spinCount="100000" sheet="1" objects="1" scenarios="1" formatCells="0"/>
  <mergeCells count="15">
    <mergeCell ref="G1:N1"/>
    <mergeCell ref="J2:N2"/>
    <mergeCell ref="J9:N9"/>
    <mergeCell ref="H17:N17"/>
    <mergeCell ref="H19:N19"/>
    <mergeCell ref="H27:N27"/>
    <mergeCell ref="H29:N29"/>
    <mergeCell ref="H37:N37"/>
    <mergeCell ref="H39:N39"/>
    <mergeCell ref="H47:N47"/>
    <mergeCell ref="H49:N49"/>
    <mergeCell ref="H57:N57"/>
    <mergeCell ref="H59:N59"/>
    <mergeCell ref="H69:N69"/>
    <mergeCell ref="H71:N71"/>
  </mergeCells>
  <conditionalFormatting sqref="I3">
    <cfRule type="expression" dxfId="66" priority="17">
      <formula>$J$8&lt;&gt;COUNTIF(I9:I111,2)</formula>
    </cfRule>
  </conditionalFormatting>
  <conditionalFormatting sqref="I4">
    <cfRule type="expression" dxfId="65" priority="18">
      <formula>$L$8&lt;&gt;COUNTIF(I9:I111,2)</formula>
    </cfRule>
  </conditionalFormatting>
  <conditionalFormatting sqref="G3">
    <cfRule type="expression" dxfId="64" priority="15">
      <formula>$J$8&lt;&gt;COUNTIF(I9:I111,2)</formula>
    </cfRule>
  </conditionalFormatting>
  <conditionalFormatting sqref="J3">
    <cfRule type="expression" dxfId="63" priority="14">
      <formula>$J$8&lt;&gt;COUNTIF(I9:I111,2)</formula>
    </cfRule>
  </conditionalFormatting>
  <conditionalFormatting sqref="K3">
    <cfRule type="expression" dxfId="62" priority="13">
      <formula>$J$8&lt;&gt;COUNTIF(I9:I111,2)</formula>
    </cfRule>
  </conditionalFormatting>
  <conditionalFormatting sqref="L3">
    <cfRule type="expression" dxfId="61" priority="12">
      <formula>$J$8&lt;&gt;COUNTIF(I9:I111,2)</formula>
    </cfRule>
  </conditionalFormatting>
  <conditionalFormatting sqref="M3">
    <cfRule type="expression" dxfId="60" priority="11">
      <formula>$J$8&lt;&gt;COUNTIF(I9:I111,2)</formula>
    </cfRule>
  </conditionalFormatting>
  <conditionalFormatting sqref="N3">
    <cfRule type="expression" dxfId="59" priority="10">
      <formula>$J$8&lt;&gt;COUNTIF(I9:I111,2)</formula>
    </cfRule>
  </conditionalFormatting>
  <conditionalFormatting sqref="G4">
    <cfRule type="expression" dxfId="58" priority="8">
      <formula>$L$8&lt;&gt;COUNTIF(I9:I111,2)</formula>
    </cfRule>
  </conditionalFormatting>
  <conditionalFormatting sqref="J4">
    <cfRule type="expression" dxfId="57" priority="7">
      <formula>$L$8&lt;&gt;COUNTIF(I9:I111,2)</formula>
    </cfRule>
  </conditionalFormatting>
  <conditionalFormatting sqref="K4">
    <cfRule type="expression" dxfId="56" priority="6">
      <formula>$L$8&lt;&gt;COUNTIF(I9:I111,2)</formula>
    </cfRule>
  </conditionalFormatting>
  <conditionalFormatting sqref="L4">
    <cfRule type="expression" dxfId="55" priority="5">
      <formula>$L$8&lt;&gt;COUNTIF(I9:I111,2)</formula>
    </cfRule>
  </conditionalFormatting>
  <conditionalFormatting sqref="M4">
    <cfRule type="expression" dxfId="54" priority="4">
      <formula>$L$8&lt;&gt;COUNTIF(I9:I111,2)</formula>
    </cfRule>
  </conditionalFormatting>
  <conditionalFormatting sqref="N4">
    <cfRule type="expression" dxfId="53" priority="3">
      <formula>$L$8&lt;&gt;COUNTIF(I9:I111,2)</formula>
    </cfRule>
  </conditionalFormatting>
  <conditionalFormatting sqref="H3">
    <cfRule type="expression" dxfId="52" priority="2">
      <formula>$J$8&lt;&gt;COUNTIF(I9:I111,2)</formula>
    </cfRule>
  </conditionalFormatting>
  <conditionalFormatting sqref="H4">
    <cfRule type="expression" dxfId="51" priority="1">
      <formula>$L$8&lt;&gt;COUNTIF(I9:I111,2)</formula>
    </cfRule>
  </conditionalFormatting>
  <pageMargins left="0.70866141732283472" right="0.70866141732283472" top="0.54" bottom="1.04" header="0.31496062992125984" footer="0.17"/>
  <pageSetup paperSize="9" scale="56" fitToHeight="0" orientation="landscape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19</vt:i4>
      </vt:variant>
    </vt:vector>
  </HeadingPairs>
  <TitlesOfParts>
    <vt:vector size="35" baseType="lpstr">
      <vt:lpstr>kontrolni_list</vt:lpstr>
      <vt:lpstr>vystup_pracovního_listu-zadatel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---</vt:lpstr>
      <vt:lpstr>Poznamky</vt:lpstr>
      <vt:lpstr>----</vt:lpstr>
      <vt:lpstr>Rozpocet_Kontrola-pro-IH</vt:lpstr>
      <vt:lpstr>'01'!Názvy_tisku</vt:lpstr>
      <vt:lpstr>'02'!Názvy_tisku</vt:lpstr>
      <vt:lpstr>'03'!Názvy_tisku</vt:lpstr>
      <vt:lpstr>'04'!Názvy_tisku</vt:lpstr>
      <vt:lpstr>'05'!Názvy_tisku</vt:lpstr>
      <vt:lpstr>'06'!Názvy_tisku</vt:lpstr>
      <vt:lpstr>'07'!Názvy_tisku</vt:lpstr>
      <vt:lpstr>'10'!Názvy_tisku</vt:lpstr>
      <vt:lpstr>'01'!Oblast_tisku</vt:lpstr>
      <vt:lpstr>'02'!Oblast_tisku</vt:lpstr>
      <vt:lpstr>'03'!Oblast_tisku</vt:lpstr>
      <vt:lpstr>'04'!Oblast_tisku</vt:lpstr>
      <vt:lpstr>'05'!Oblast_tisku</vt:lpstr>
      <vt:lpstr>'06'!Oblast_tisku</vt:lpstr>
      <vt:lpstr>'07'!Oblast_tisku</vt:lpstr>
      <vt:lpstr>'10'!Oblast_tisku</vt:lpstr>
      <vt:lpstr>kontrolni_list!Oblast_tisku</vt:lpstr>
      <vt:lpstr>'Rozpocet_Kontrola-pro-IH'!Oblast_tisku</vt:lpstr>
      <vt:lpstr>'vystup_pracovního_listu-zadatel'!Oblast_tisku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Tománková Eva</dc:creator>
  <cp:lastModifiedBy>Mlýnek Martin</cp:lastModifiedBy>
  <cp:lastPrinted>2019-05-13T08:16:49Z</cp:lastPrinted>
  <dcterms:created xsi:type="dcterms:W3CDTF">2018-11-22T14:33:50Z</dcterms:created>
  <dcterms:modified xsi:type="dcterms:W3CDTF">2019-07-09T14:29:00Z</dcterms:modified>
</cp:coreProperties>
</file>